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jrivo\Documents\Ehrenamt\PV\Leitfaden\"/>
    </mc:Choice>
  </mc:AlternateContent>
  <xr:revisionPtr revIDLastSave="0" documentId="13_ncr:1_{728D3439-43E8-4D77-AEE0-4769C70382E7}" xr6:coauthVersionLast="47" xr6:coauthVersionMax="47" xr10:uidLastSave="{00000000-0000-0000-0000-000000000000}"/>
  <bookViews>
    <workbookView xWindow="1740" yWindow="1125" windowWidth="23895" windowHeight="14235" tabRatio="646" xr2:uid="{00000000-000D-0000-FFFF-FFFF00000000}"/>
  </bookViews>
  <sheets>
    <sheet name="Eingaben &amp; Berechnung" sheetId="2" r:id="rId1"/>
    <sheet name="Hinweise" sheetId="3" r:id="rId2"/>
    <sheet name="Ausgabeblatt" sheetId="8" r:id="rId3"/>
    <sheet name="Direktverbrauchsquote" sheetId="7" r:id="rId4"/>
    <sheet name="Einspeisevergütung" sheetId="4" r:id="rId5"/>
    <sheet name="Rendite" sheetId="5" r:id="rId6"/>
    <sheet name="Tilgung" sheetId="6" r:id="rId7"/>
    <sheet name="Betriebsmodell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2" l="1"/>
  <c r="F39" i="2"/>
  <c r="F38" i="2"/>
  <c r="E38" i="2"/>
  <c r="E59" i="2"/>
  <c r="F60" i="2"/>
  <c r="F59" i="2"/>
  <c r="E60" i="2"/>
  <c r="F43" i="2"/>
  <c r="F15" i="8" s="1"/>
  <c r="E43" i="2"/>
  <c r="E15" i="8" s="1"/>
  <c r="F67" i="2"/>
  <c r="E67" i="2"/>
  <c r="F19" i="8"/>
  <c r="F8" i="8"/>
  <c r="F7" i="8"/>
  <c r="F4" i="8"/>
  <c r="F3" i="8"/>
  <c r="F2" i="8"/>
  <c r="F1" i="8"/>
  <c r="E4" i="8"/>
  <c r="F33" i="2"/>
  <c r="E33" i="2"/>
  <c r="E7" i="2"/>
  <c r="E77" i="2" s="1"/>
  <c r="E17" i="2"/>
  <c r="E18" i="2"/>
  <c r="E19" i="2" s="1"/>
  <c r="E22" i="2"/>
  <c r="E29" i="2"/>
  <c r="E31" i="2" s="1"/>
  <c r="E35" i="2"/>
  <c r="E63" i="2"/>
  <c r="E96" i="2"/>
  <c r="F63" i="2"/>
  <c r="F7" i="2"/>
  <c r="F77" i="2" s="1"/>
  <c r="F18" i="2"/>
  <c r="F19" i="2" s="1"/>
  <c r="E19" i="8"/>
  <c r="A11" i="8"/>
  <c r="E1" i="8"/>
  <c r="E2" i="8"/>
  <c r="E3" i="8"/>
  <c r="A6" i="8"/>
  <c r="B7" i="8"/>
  <c r="E7" i="8"/>
  <c r="G7" i="8"/>
  <c r="B8" i="8"/>
  <c r="E8" i="8"/>
  <c r="G8" i="8"/>
  <c r="B9" i="8"/>
  <c r="B12" i="8"/>
  <c r="G12" i="8"/>
  <c r="B13" i="8"/>
  <c r="G13" i="8"/>
  <c r="B14" i="8"/>
  <c r="G14" i="8"/>
  <c r="B15" i="8"/>
  <c r="B16" i="8"/>
  <c r="A18" i="8"/>
  <c r="B24" i="8"/>
  <c r="C24" i="8"/>
  <c r="G24" i="8"/>
  <c r="B25" i="8"/>
  <c r="B26" i="8"/>
  <c r="G26" i="8"/>
  <c r="B27" i="8"/>
  <c r="G27" i="8"/>
  <c r="B29" i="8"/>
  <c r="C29" i="8"/>
  <c r="G29" i="8"/>
  <c r="B30" i="8"/>
  <c r="B31" i="8"/>
  <c r="G31" i="8"/>
  <c r="B32" i="8"/>
  <c r="G32" i="8"/>
  <c r="B19" i="8"/>
  <c r="C19" i="8"/>
  <c r="C20" i="8"/>
  <c r="B22" i="8"/>
  <c r="A34" i="8"/>
  <c r="B35" i="8"/>
  <c r="G35" i="8"/>
  <c r="B36" i="8"/>
  <c r="C36" i="8"/>
  <c r="D36" i="8"/>
  <c r="G36" i="8"/>
  <c r="B37" i="8"/>
  <c r="C37" i="8"/>
  <c r="D37" i="8"/>
  <c r="G37" i="8"/>
  <c r="B38" i="8"/>
  <c r="C38" i="8"/>
  <c r="D38" i="8"/>
  <c r="G38" i="8"/>
  <c r="B39" i="8"/>
  <c r="C39" i="8"/>
  <c r="D39" i="8"/>
  <c r="G39" i="8"/>
  <c r="F96" i="2"/>
  <c r="F35" i="2"/>
  <c r="F29" i="2"/>
  <c r="F31" i="2" s="1"/>
  <c r="F41" i="2" s="1"/>
  <c r="F14" i="8" s="1"/>
  <c r="F22" i="2"/>
  <c r="F17" i="2"/>
  <c r="F65" i="2" l="1"/>
  <c r="E65" i="2"/>
  <c r="F66" i="2"/>
  <c r="E41" i="2"/>
  <c r="E66" i="2"/>
  <c r="F12" i="8"/>
  <c r="E21" i="2"/>
  <c r="E24" i="2" s="1"/>
  <c r="F21" i="2"/>
  <c r="E36" i="2"/>
  <c r="E95" i="2"/>
  <c r="F36" i="2"/>
  <c r="F50" i="2"/>
  <c r="F47" i="2"/>
  <c r="F54" i="2" s="1"/>
  <c r="F95" i="2"/>
  <c r="B8" i="6"/>
  <c r="G15" i="6" s="1"/>
  <c r="B9" i="6"/>
  <c r="E4" i="6"/>
  <c r="F4" i="6" s="1"/>
  <c r="C98" i="2"/>
  <c r="B8" i="5"/>
  <c r="H8" i="5" s="1"/>
  <c r="F5" i="5"/>
  <c r="G5" i="5" s="1"/>
  <c r="F13" i="8" l="1"/>
  <c r="F35" i="8"/>
  <c r="E45" i="2"/>
  <c r="E46" i="2"/>
  <c r="F24" i="2"/>
  <c r="F52" i="2"/>
  <c r="E44" i="2"/>
  <c r="E50" i="2"/>
  <c r="E101" i="2"/>
  <c r="E97" i="2"/>
  <c r="E47" i="2"/>
  <c r="E54" i="2" s="1"/>
  <c r="E26" i="2"/>
  <c r="E88" i="2"/>
  <c r="E89" i="2" s="1"/>
  <c r="E64" i="2"/>
  <c r="E13" i="8"/>
  <c r="F45" i="2"/>
  <c r="F46" i="2"/>
  <c r="F44" i="2"/>
  <c r="F97" i="2"/>
  <c r="F101" i="2"/>
  <c r="G38" i="6"/>
  <c r="G30" i="6"/>
  <c r="G22" i="6"/>
  <c r="G14" i="6"/>
  <c r="G4" i="6"/>
  <c r="G37" i="6"/>
  <c r="G29" i="6"/>
  <c r="G21" i="6"/>
  <c r="G13" i="6"/>
  <c r="G7" i="6"/>
  <c r="G20" i="6"/>
  <c r="G35" i="6"/>
  <c r="G11" i="6"/>
  <c r="G5" i="6"/>
  <c r="G34" i="6"/>
  <c r="G26" i="6"/>
  <c r="G18" i="6"/>
  <c r="G10" i="6"/>
  <c r="G28" i="6"/>
  <c r="G6" i="6"/>
  <c r="G19" i="6"/>
  <c r="G41" i="6"/>
  <c r="G33" i="6"/>
  <c r="G25" i="6"/>
  <c r="G17" i="6"/>
  <c r="G9" i="6"/>
  <c r="G36" i="6"/>
  <c r="G12" i="6"/>
  <c r="G27" i="6"/>
  <c r="G40" i="6"/>
  <c r="G32" i="6"/>
  <c r="G24" i="6"/>
  <c r="G16" i="6"/>
  <c r="G8" i="6"/>
  <c r="G39" i="6"/>
  <c r="G31" i="6"/>
  <c r="G23" i="6"/>
  <c r="E5" i="6"/>
  <c r="F5" i="6" s="1"/>
  <c r="H22" i="5"/>
  <c r="H23" i="5"/>
  <c r="H15" i="5"/>
  <c r="H14" i="5"/>
  <c r="H7" i="5"/>
  <c r="H6" i="5"/>
  <c r="H21" i="5"/>
  <c r="H13" i="5"/>
  <c r="H20" i="5"/>
  <c r="H12" i="5"/>
  <c r="H5" i="5"/>
  <c r="F6" i="5" s="1"/>
  <c r="G6" i="5" s="1"/>
  <c r="H17" i="5"/>
  <c r="H9" i="5"/>
  <c r="H19" i="5"/>
  <c r="H11" i="5"/>
  <c r="H18" i="5"/>
  <c r="H10" i="5"/>
  <c r="H24" i="5"/>
  <c r="H16" i="5"/>
  <c r="F39" i="8" l="1"/>
  <c r="F9" i="8"/>
  <c r="F36" i="8"/>
  <c r="F16" i="8"/>
  <c r="E69" i="2"/>
  <c r="F64" i="2"/>
  <c r="F69" i="2" s="1"/>
  <c r="F26" i="2"/>
  <c r="E52" i="2"/>
  <c r="F88" i="2"/>
  <c r="F89" i="2" s="1"/>
  <c r="E98" i="2"/>
  <c r="E99" i="2" s="1"/>
  <c r="E100" i="2"/>
  <c r="F98" i="2"/>
  <c r="F99" i="2" s="1"/>
  <c r="F100" i="2"/>
  <c r="E6" i="6"/>
  <c r="F6" i="6" s="1"/>
  <c r="F7" i="5"/>
  <c r="G7" i="5" s="1"/>
  <c r="F22" i="8" l="1"/>
  <c r="F37" i="8"/>
  <c r="F38" i="8"/>
  <c r="E7" i="6"/>
  <c r="F8" i="5"/>
  <c r="G8" i="5" s="1"/>
  <c r="F7" i="6" l="1"/>
  <c r="E8" i="6" s="1"/>
  <c r="F9" i="5"/>
  <c r="G9" i="5" s="1"/>
  <c r="F8" i="6" l="1"/>
  <c r="E9" i="6" s="1"/>
  <c r="F10" i="5"/>
  <c r="G10" i="5" s="1"/>
  <c r="F9" i="6" l="1"/>
  <c r="E10" i="6" s="1"/>
  <c r="F10" i="6" s="1"/>
  <c r="E11" i="6" s="1"/>
  <c r="F11" i="5"/>
  <c r="G11" i="5" s="1"/>
  <c r="F11" i="6" l="1"/>
  <c r="E12" i="6" s="1"/>
  <c r="F12" i="6" s="1"/>
  <c r="E13" i="6" s="1"/>
  <c r="F13" i="6" s="1"/>
  <c r="E14" i="6" s="1"/>
  <c r="F12" i="5"/>
  <c r="G12" i="5" s="1"/>
  <c r="F14" i="6" l="1"/>
  <c r="E15" i="6" s="1"/>
  <c r="F15" i="6" s="1"/>
  <c r="E16" i="6" s="1"/>
  <c r="F13" i="5"/>
  <c r="G13" i="5" s="1"/>
  <c r="F16" i="6" l="1"/>
  <c r="E17" i="6" s="1"/>
  <c r="F14" i="5"/>
  <c r="G14" i="5" s="1"/>
  <c r="F17" i="6" l="1"/>
  <c r="E18" i="6" s="1"/>
  <c r="F15" i="5"/>
  <c r="G15" i="5" s="1"/>
  <c r="F18" i="6" l="1"/>
  <c r="E19" i="6" s="1"/>
  <c r="F16" i="5"/>
  <c r="G16" i="5" s="1"/>
  <c r="F19" i="6" l="1"/>
  <c r="E20" i="6"/>
  <c r="F17" i="5"/>
  <c r="G17" i="5" s="1"/>
  <c r="F20" i="6" l="1"/>
  <c r="E21" i="6" s="1"/>
  <c r="F18" i="5"/>
  <c r="G18" i="5" s="1"/>
  <c r="F21" i="6" l="1"/>
  <c r="E22" i="6" s="1"/>
  <c r="F19" i="5"/>
  <c r="G19" i="5" s="1"/>
  <c r="F22" i="6" l="1"/>
  <c r="E23" i="6" s="1"/>
  <c r="F20" i="5"/>
  <c r="G20" i="5" s="1"/>
  <c r="F23" i="6" l="1"/>
  <c r="E24" i="6" s="1"/>
  <c r="F21" i="5"/>
  <c r="G21" i="5" s="1"/>
  <c r="F24" i="6" l="1"/>
  <c r="E25" i="6" s="1"/>
  <c r="F22" i="5"/>
  <c r="G22" i="5" s="1"/>
  <c r="F25" i="6" l="1"/>
  <c r="E26" i="6" s="1"/>
  <c r="F23" i="5"/>
  <c r="G23" i="5" s="1"/>
  <c r="D6" i="4"/>
  <c r="C6" i="4"/>
  <c r="B6" i="4"/>
  <c r="D5" i="4"/>
  <c r="C5" i="4"/>
  <c r="B5" i="4"/>
  <c r="C8" i="4"/>
  <c r="A12" i="4" l="1"/>
  <c r="C9" i="4"/>
  <c r="F26" i="6"/>
  <c r="E27" i="6" s="1"/>
  <c r="F24" i="5"/>
  <c r="G24" i="5" s="1"/>
  <c r="F27" i="6" l="1"/>
  <c r="E28" i="6" s="1"/>
  <c r="F25" i="5"/>
  <c r="C14" i="4"/>
  <c r="D14" i="4"/>
  <c r="B14" i="4"/>
  <c r="B13" i="4"/>
  <c r="D13" i="4"/>
  <c r="C13" i="4"/>
  <c r="E12" i="8" l="1"/>
  <c r="F28" i="6"/>
  <c r="E29" i="6" s="1"/>
  <c r="E35" i="8"/>
  <c r="E14" i="8"/>
  <c r="B20" i="4"/>
  <c r="C20" i="4"/>
  <c r="D20" i="4"/>
  <c r="B21" i="4"/>
  <c r="C21" i="4"/>
  <c r="D21" i="4"/>
  <c r="B22" i="4"/>
  <c r="C22" i="4"/>
  <c r="D22" i="4"/>
  <c r="B23" i="4"/>
  <c r="C23" i="4"/>
  <c r="D23" i="4"/>
  <c r="G23" i="4" s="1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G31" i="4" s="1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G39" i="4" s="1"/>
  <c r="B40" i="4"/>
  <c r="C40" i="4"/>
  <c r="D40" i="4"/>
  <c r="B41" i="4"/>
  <c r="C41" i="4"/>
  <c r="D41" i="4"/>
  <c r="B42" i="4"/>
  <c r="C42" i="4"/>
  <c r="D42" i="4"/>
  <c r="B43" i="4"/>
  <c r="C43" i="4"/>
  <c r="D43" i="4"/>
  <c r="B44" i="4"/>
  <c r="C44" i="4"/>
  <c r="D44" i="4"/>
  <c r="B45" i="4"/>
  <c r="C45" i="4"/>
  <c r="D45" i="4"/>
  <c r="B46" i="4"/>
  <c r="C46" i="4"/>
  <c r="D46" i="4"/>
  <c r="B47" i="4"/>
  <c r="C47" i="4"/>
  <c r="D47" i="4"/>
  <c r="G47" i="4" s="1"/>
  <c r="B48" i="4"/>
  <c r="C48" i="4"/>
  <c r="D48" i="4"/>
  <c r="B49" i="4"/>
  <c r="C49" i="4"/>
  <c r="D49" i="4"/>
  <c r="B50" i="4"/>
  <c r="C50" i="4"/>
  <c r="D50" i="4"/>
  <c r="B51" i="4"/>
  <c r="C51" i="4"/>
  <c r="D51" i="4"/>
  <c r="B52" i="4"/>
  <c r="C52" i="4"/>
  <c r="D52" i="4"/>
  <c r="B53" i="4"/>
  <c r="C53" i="4"/>
  <c r="D53" i="4"/>
  <c r="B54" i="4"/>
  <c r="C54" i="4"/>
  <c r="D54" i="4"/>
  <c r="B55" i="4"/>
  <c r="C55" i="4"/>
  <c r="D55" i="4"/>
  <c r="G55" i="4" s="1"/>
  <c r="B56" i="4"/>
  <c r="C56" i="4"/>
  <c r="D56" i="4"/>
  <c r="B57" i="4"/>
  <c r="C57" i="4"/>
  <c r="D57" i="4"/>
  <c r="B58" i="4"/>
  <c r="C58" i="4"/>
  <c r="D58" i="4"/>
  <c r="B59" i="4"/>
  <c r="C59" i="4"/>
  <c r="D59" i="4"/>
  <c r="B60" i="4"/>
  <c r="C60" i="4"/>
  <c r="D60" i="4"/>
  <c r="B61" i="4"/>
  <c r="C61" i="4"/>
  <c r="D61" i="4"/>
  <c r="B62" i="4"/>
  <c r="C62" i="4"/>
  <c r="D62" i="4"/>
  <c r="B63" i="4"/>
  <c r="C63" i="4"/>
  <c r="D63" i="4"/>
  <c r="G63" i="4" s="1"/>
  <c r="B64" i="4"/>
  <c r="C64" i="4"/>
  <c r="D64" i="4"/>
  <c r="B65" i="4"/>
  <c r="C65" i="4"/>
  <c r="D65" i="4"/>
  <c r="B66" i="4"/>
  <c r="C66" i="4"/>
  <c r="D66" i="4"/>
  <c r="B67" i="4"/>
  <c r="C67" i="4"/>
  <c r="D67" i="4"/>
  <c r="B68" i="4"/>
  <c r="C68" i="4"/>
  <c r="D68" i="4"/>
  <c r="B69" i="4"/>
  <c r="C69" i="4"/>
  <c r="D69" i="4"/>
  <c r="B70" i="4"/>
  <c r="C70" i="4"/>
  <c r="D70" i="4"/>
  <c r="B71" i="4"/>
  <c r="C71" i="4"/>
  <c r="D71" i="4"/>
  <c r="G71" i="4" s="1"/>
  <c r="B72" i="4"/>
  <c r="C72" i="4"/>
  <c r="D72" i="4"/>
  <c r="B73" i="4"/>
  <c r="C73" i="4"/>
  <c r="D73" i="4"/>
  <c r="B74" i="4"/>
  <c r="C74" i="4"/>
  <c r="D74" i="4"/>
  <c r="B75" i="4"/>
  <c r="C75" i="4"/>
  <c r="D75" i="4"/>
  <c r="B76" i="4"/>
  <c r="C76" i="4"/>
  <c r="D76" i="4"/>
  <c r="B77" i="4"/>
  <c r="C77" i="4"/>
  <c r="D77" i="4"/>
  <c r="B78" i="4"/>
  <c r="C78" i="4"/>
  <c r="D78" i="4"/>
  <c r="B79" i="4"/>
  <c r="C79" i="4"/>
  <c r="D79" i="4"/>
  <c r="G79" i="4" s="1"/>
  <c r="B80" i="4"/>
  <c r="C80" i="4"/>
  <c r="D80" i="4"/>
  <c r="B81" i="4"/>
  <c r="C81" i="4"/>
  <c r="D81" i="4"/>
  <c r="B82" i="4"/>
  <c r="C82" i="4"/>
  <c r="D82" i="4"/>
  <c r="B83" i="4"/>
  <c r="C83" i="4"/>
  <c r="D83" i="4"/>
  <c r="B84" i="4"/>
  <c r="C84" i="4"/>
  <c r="D84" i="4"/>
  <c r="B85" i="4"/>
  <c r="C85" i="4"/>
  <c r="D85" i="4"/>
  <c r="B86" i="4"/>
  <c r="C86" i="4"/>
  <c r="D86" i="4"/>
  <c r="B87" i="4"/>
  <c r="C87" i="4"/>
  <c r="D87" i="4"/>
  <c r="G87" i="4" s="1"/>
  <c r="B88" i="4"/>
  <c r="C88" i="4"/>
  <c r="D88" i="4"/>
  <c r="B89" i="4"/>
  <c r="C89" i="4"/>
  <c r="D89" i="4"/>
  <c r="B90" i="4"/>
  <c r="C90" i="4"/>
  <c r="D90" i="4"/>
  <c r="B91" i="4"/>
  <c r="C91" i="4"/>
  <c r="D91" i="4"/>
  <c r="B92" i="4"/>
  <c r="C92" i="4"/>
  <c r="D92" i="4"/>
  <c r="B93" i="4"/>
  <c r="C93" i="4"/>
  <c r="D93" i="4"/>
  <c r="B94" i="4"/>
  <c r="C94" i="4"/>
  <c r="D94" i="4"/>
  <c r="B95" i="4"/>
  <c r="C95" i="4"/>
  <c r="D95" i="4"/>
  <c r="G95" i="4" s="1"/>
  <c r="B96" i="4"/>
  <c r="C96" i="4"/>
  <c r="D96" i="4"/>
  <c r="B97" i="4"/>
  <c r="C97" i="4"/>
  <c r="D97" i="4"/>
  <c r="B98" i="4"/>
  <c r="C98" i="4"/>
  <c r="D98" i="4"/>
  <c r="B99" i="4"/>
  <c r="C99" i="4"/>
  <c r="D99" i="4"/>
  <c r="B100" i="4"/>
  <c r="C100" i="4"/>
  <c r="D100" i="4"/>
  <c r="B101" i="4"/>
  <c r="C101" i="4"/>
  <c r="D101" i="4"/>
  <c r="B102" i="4"/>
  <c r="C102" i="4"/>
  <c r="D102" i="4"/>
  <c r="B103" i="4"/>
  <c r="C103" i="4"/>
  <c r="D103" i="4"/>
  <c r="G103" i="4" s="1"/>
  <c r="B104" i="4"/>
  <c r="C104" i="4"/>
  <c r="D104" i="4"/>
  <c r="B105" i="4"/>
  <c r="C105" i="4"/>
  <c r="D105" i="4"/>
  <c r="B106" i="4"/>
  <c r="C106" i="4"/>
  <c r="D106" i="4"/>
  <c r="B107" i="4"/>
  <c r="C107" i="4"/>
  <c r="D107" i="4"/>
  <c r="B108" i="4"/>
  <c r="C108" i="4"/>
  <c r="D108" i="4"/>
  <c r="B109" i="4"/>
  <c r="C109" i="4"/>
  <c r="D109" i="4"/>
  <c r="B110" i="4"/>
  <c r="C110" i="4"/>
  <c r="D110" i="4"/>
  <c r="B111" i="4"/>
  <c r="C111" i="4"/>
  <c r="D111" i="4"/>
  <c r="G111" i="4" s="1"/>
  <c r="B112" i="4"/>
  <c r="C112" i="4"/>
  <c r="D112" i="4"/>
  <c r="B113" i="4"/>
  <c r="C113" i="4"/>
  <c r="D113" i="4"/>
  <c r="B114" i="4"/>
  <c r="C114" i="4"/>
  <c r="D114" i="4"/>
  <c r="B115" i="4"/>
  <c r="C115" i="4"/>
  <c r="D115" i="4"/>
  <c r="B116" i="4"/>
  <c r="C116" i="4"/>
  <c r="D116" i="4"/>
  <c r="B117" i="4"/>
  <c r="C117" i="4"/>
  <c r="D117" i="4"/>
  <c r="B118" i="4"/>
  <c r="C118" i="4"/>
  <c r="D118" i="4"/>
  <c r="D19" i="4"/>
  <c r="C19" i="4"/>
  <c r="B19" i="4"/>
  <c r="F19" i="4" s="1"/>
  <c r="C17" i="4"/>
  <c r="D17" i="4"/>
  <c r="B17" i="4"/>
  <c r="E22" i="8" l="1"/>
  <c r="E9" i="8"/>
  <c r="E16" i="8"/>
  <c r="F29" i="6"/>
  <c r="E30" i="6" s="1"/>
  <c r="E39" i="8"/>
  <c r="E36" i="8"/>
  <c r="F89" i="4"/>
  <c r="F57" i="4"/>
  <c r="F49" i="4"/>
  <c r="F33" i="4"/>
  <c r="F25" i="4"/>
  <c r="F105" i="4"/>
  <c r="F97" i="4"/>
  <c r="F65" i="4"/>
  <c r="F41" i="4"/>
  <c r="F113" i="4"/>
  <c r="F73" i="4"/>
  <c r="F81" i="4"/>
  <c r="G117" i="4"/>
  <c r="G93" i="4"/>
  <c r="G69" i="4"/>
  <c r="G45" i="4"/>
  <c r="G21" i="4"/>
  <c r="G109" i="4"/>
  <c r="G77" i="4"/>
  <c r="G53" i="4"/>
  <c r="G37" i="4"/>
  <c r="G101" i="4"/>
  <c r="G85" i="4"/>
  <c r="G61" i="4"/>
  <c r="G29" i="4"/>
  <c r="G78" i="4"/>
  <c r="G110" i="4"/>
  <c r="F118" i="4"/>
  <c r="F102" i="4"/>
  <c r="F94" i="4"/>
  <c r="F86" i="4"/>
  <c r="F70" i="4"/>
  <c r="F62" i="4"/>
  <c r="F46" i="4"/>
  <c r="F30" i="4"/>
  <c r="F22" i="4"/>
  <c r="G113" i="4"/>
  <c r="G81" i="4"/>
  <c r="G49" i="4"/>
  <c r="F117" i="4"/>
  <c r="G115" i="4"/>
  <c r="F109" i="4"/>
  <c r="G107" i="4"/>
  <c r="F101" i="4"/>
  <c r="G99" i="4"/>
  <c r="F93" i="4"/>
  <c r="F91" i="4"/>
  <c r="F85" i="4"/>
  <c r="G83" i="4"/>
  <c r="F77" i="4"/>
  <c r="G75" i="4"/>
  <c r="F69" i="4"/>
  <c r="G67" i="4"/>
  <c r="F61" i="4"/>
  <c r="G59" i="4"/>
  <c r="F53" i="4"/>
  <c r="F51" i="4"/>
  <c r="F45" i="4"/>
  <c r="G43" i="4"/>
  <c r="F37" i="4"/>
  <c r="G35" i="4"/>
  <c r="F29" i="4"/>
  <c r="G27" i="4"/>
  <c r="F21" i="4"/>
  <c r="G46" i="4"/>
  <c r="F110" i="4"/>
  <c r="F78" i="4"/>
  <c r="E55" i="2" s="1"/>
  <c r="F54" i="4"/>
  <c r="F38" i="4"/>
  <c r="F112" i="4"/>
  <c r="F104" i="4"/>
  <c r="F96" i="4"/>
  <c r="F88" i="4"/>
  <c r="F80" i="4"/>
  <c r="F72" i="4"/>
  <c r="F64" i="4"/>
  <c r="F56" i="4"/>
  <c r="F48" i="4"/>
  <c r="F40" i="4"/>
  <c r="F32" i="4"/>
  <c r="F24" i="4"/>
  <c r="G105" i="4"/>
  <c r="G73" i="4"/>
  <c r="G41" i="4"/>
  <c r="G102" i="4"/>
  <c r="G70" i="4"/>
  <c r="G38" i="4"/>
  <c r="F116" i="4"/>
  <c r="G114" i="4"/>
  <c r="F108" i="4"/>
  <c r="G106" i="4"/>
  <c r="F100" i="4"/>
  <c r="G98" i="4"/>
  <c r="F92" i="4"/>
  <c r="G90" i="4"/>
  <c r="F84" i="4"/>
  <c r="G82" i="4"/>
  <c r="F76" i="4"/>
  <c r="G74" i="4"/>
  <c r="F68" i="4"/>
  <c r="G66" i="4"/>
  <c r="F60" i="4"/>
  <c r="G58" i="4"/>
  <c r="F52" i="4"/>
  <c r="G50" i="4"/>
  <c r="F44" i="4"/>
  <c r="G42" i="4"/>
  <c r="F36" i="4"/>
  <c r="G34" i="4"/>
  <c r="F28" i="4"/>
  <c r="G26" i="4"/>
  <c r="F20" i="4"/>
  <c r="G97" i="4"/>
  <c r="G65" i="4"/>
  <c r="G33" i="4"/>
  <c r="G94" i="4"/>
  <c r="G62" i="4"/>
  <c r="G30" i="4"/>
  <c r="F111" i="4"/>
  <c r="F103" i="4"/>
  <c r="F95" i="4"/>
  <c r="F87" i="4"/>
  <c r="F79" i="4"/>
  <c r="F71" i="4"/>
  <c r="F63" i="4"/>
  <c r="F55" i="4"/>
  <c r="F47" i="4"/>
  <c r="F39" i="4"/>
  <c r="F31" i="4"/>
  <c r="F23" i="4"/>
  <c r="G116" i="4"/>
  <c r="G108" i="4"/>
  <c r="G100" i="4"/>
  <c r="G92" i="4"/>
  <c r="G84" i="4"/>
  <c r="G76" i="4"/>
  <c r="G68" i="4"/>
  <c r="G60" i="4"/>
  <c r="G52" i="4"/>
  <c r="G44" i="4"/>
  <c r="G36" i="4"/>
  <c r="G28" i="4"/>
  <c r="G20" i="4"/>
  <c r="G89" i="4"/>
  <c r="G57" i="4"/>
  <c r="G25" i="4"/>
  <c r="G118" i="4"/>
  <c r="G86" i="4"/>
  <c r="G54" i="4"/>
  <c r="G22" i="4"/>
  <c r="G112" i="4"/>
  <c r="G104" i="4"/>
  <c r="G96" i="4"/>
  <c r="G88" i="4"/>
  <c r="G80" i="4"/>
  <c r="G72" i="4"/>
  <c r="G64" i="4"/>
  <c r="G56" i="4"/>
  <c r="G48" i="4"/>
  <c r="G40" i="4"/>
  <c r="G32" i="4"/>
  <c r="G24" i="4"/>
  <c r="F107" i="4"/>
  <c r="F75" i="4"/>
  <c r="F43" i="4"/>
  <c r="G19" i="4"/>
  <c r="F106" i="4"/>
  <c r="F82" i="4"/>
  <c r="F66" i="4"/>
  <c r="F58" i="4"/>
  <c r="F26" i="4"/>
  <c r="F99" i="4"/>
  <c r="F67" i="4"/>
  <c r="F35" i="4"/>
  <c r="F90" i="4"/>
  <c r="F42" i="4"/>
  <c r="F115" i="4"/>
  <c r="F83" i="4"/>
  <c r="F59" i="4"/>
  <c r="F27" i="4"/>
  <c r="F114" i="4"/>
  <c r="F74" i="4"/>
  <c r="F34" i="4"/>
  <c r="G91" i="4"/>
  <c r="G51" i="4"/>
  <c r="F98" i="4"/>
  <c r="F50" i="4"/>
  <c r="F55" i="2" l="1"/>
  <c r="F57" i="2" s="1"/>
  <c r="F71" i="2" s="1"/>
  <c r="E57" i="2"/>
  <c r="F30" i="6"/>
  <c r="E31" i="6" s="1"/>
  <c r="E38" i="8"/>
  <c r="E37" i="8"/>
  <c r="F79" i="2" l="1"/>
  <c r="F24" i="8" s="1"/>
  <c r="F29" i="8"/>
  <c r="F72" i="2"/>
  <c r="F30" i="8" s="1"/>
  <c r="F31" i="6"/>
  <c r="E32" i="6" s="1"/>
  <c r="F80" i="2" l="1"/>
  <c r="F25" i="8" s="1"/>
  <c r="F81" i="2"/>
  <c r="F26" i="8" s="1"/>
  <c r="F73" i="2"/>
  <c r="F31" i="8" s="1"/>
  <c r="F32" i="6"/>
  <c r="E33" i="6" s="1"/>
  <c r="F74" i="2" l="1"/>
  <c r="F32" i="8" s="1"/>
  <c r="F82" i="2"/>
  <c r="F27" i="8" s="1"/>
  <c r="F33" i="6"/>
  <c r="E34" i="6" s="1"/>
  <c r="F91" i="2" l="1"/>
  <c r="F92" i="2"/>
  <c r="F34" i="6"/>
  <c r="E35" i="6" s="1"/>
  <c r="F35" i="6" l="1"/>
  <c r="E36" i="6" s="1"/>
  <c r="F36" i="6" l="1"/>
  <c r="E37" i="6" s="1"/>
  <c r="F37" i="6" l="1"/>
  <c r="E38" i="6" s="1"/>
  <c r="F38" i="6" l="1"/>
  <c r="E39" i="6"/>
  <c r="F39" i="6" l="1"/>
  <c r="E40" i="6" s="1"/>
  <c r="F40" i="6" l="1"/>
  <c r="E41" i="6" s="1"/>
  <c r="F41" i="6" s="1"/>
  <c r="E71" i="2"/>
  <c r="E73" i="2" l="1"/>
  <c r="E79" i="2"/>
  <c r="E72" i="2"/>
  <c r="E30" i="8" s="1"/>
  <c r="E29" i="8"/>
  <c r="E31" i="8" l="1"/>
  <c r="E74" i="2"/>
  <c r="E81" i="2"/>
  <c r="E80" i="2"/>
  <c r="E25" i="8" s="1"/>
  <c r="E24" i="8"/>
  <c r="E82" i="2" l="1"/>
  <c r="E26" i="8"/>
  <c r="E32" i="8"/>
  <c r="E92" i="2"/>
  <c r="E27" i="8" l="1"/>
  <c r="E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Jochen Rivoir</author>
  </authors>
  <commentList>
    <comment ref="I77" authorId="0" shapeId="0" xr:uid="{63C1DD68-EB48-4612-B7AC-978322352A94}">
      <text>
        <r>
          <rPr>
            <b/>
            <sz val="9"/>
            <color indexed="81"/>
            <rFont val="Tahoma"/>
            <family val="2"/>
          </rPr>
          <t>Jochen Rivoir:</t>
        </r>
        <r>
          <rPr>
            <sz val="9"/>
            <color indexed="81"/>
            <rFont val="Tahoma"/>
            <family val="2"/>
          </rPr>
          <t xml:space="preserve">
+1 für Allgemeinstrom
-2 für Hauptzähler (Bezug + Einspeisung)</t>
        </r>
      </text>
    </comment>
  </commentList>
</comments>
</file>

<file path=xl/sharedStrings.xml><?xml version="1.0" encoding="utf-8"?>
<sst xmlns="http://schemas.openxmlformats.org/spreadsheetml/2006/main" count="326" uniqueCount="245">
  <si>
    <t>kWp</t>
  </si>
  <si>
    <t>Jahre</t>
  </si>
  <si>
    <t>/kWh</t>
  </si>
  <si>
    <t>Amortisationszeit</t>
  </si>
  <si>
    <t>Eingespeister Strom</t>
  </si>
  <si>
    <t>kWh/Jahr</t>
  </si>
  <si>
    <t>/Jahr</t>
  </si>
  <si>
    <t>Volleinspeisung</t>
  </si>
  <si>
    <t>PV Kosten</t>
  </si>
  <si>
    <t>Speicher Kosten</t>
  </si>
  <si>
    <t>Anschaffungskosten</t>
  </si>
  <si>
    <t>Erzeugter PV Strom</t>
  </si>
  <si>
    <t>kWh</t>
  </si>
  <si>
    <t>Teileinspeisung</t>
  </si>
  <si>
    <t>Strompreis des Stromanbieters</t>
  </si>
  <si>
    <t>Vermiedene CO2 Emissionen</t>
  </si>
  <si>
    <t>Umweltbundesamt</t>
  </si>
  <si>
    <t>Waldfläche (CO2-äquivalent)</t>
  </si>
  <si>
    <t>Stiftung Unternehmen Wald</t>
  </si>
  <si>
    <t>/kWp</t>
  </si>
  <si>
    <t>PV Nennleistung</t>
  </si>
  <si>
    <t>Einspeisevergütung pro kWh</t>
  </si>
  <si>
    <t>Für weitere Szenarien:</t>
  </si>
  <si>
    <t>Für kollektive Selbstversorgung</t>
  </si>
  <si>
    <t>Für Allgemeinstrom Modell</t>
  </si>
  <si>
    <t>Für Volleinspeisung</t>
  </si>
  <si>
    <t>Speicherkapazität</t>
  </si>
  <si>
    <t>Speicherkapazität * Kosten pro kWh</t>
  </si>
  <si>
    <t>Strommengen</t>
  </si>
  <si>
    <t>Von oben</t>
  </si>
  <si>
    <t>PV-Anlage</t>
  </si>
  <si>
    <t>0 - 10 kWp</t>
  </si>
  <si>
    <t>10 - 40 kWp</t>
  </si>
  <si>
    <t>40 - 100 kWp</t>
  </si>
  <si>
    <t>Vergütung</t>
  </si>
  <si>
    <t>Anteil an PV Nennleistung</t>
  </si>
  <si>
    <t>€/kWh</t>
  </si>
  <si>
    <t>bsw_verguetungssaetze_aktuell.pdf (solarwirtschaft.de)</t>
  </si>
  <si>
    <t>Direktvermarktung</t>
  </si>
  <si>
    <t>Siehe oben</t>
  </si>
  <si>
    <t>Durchschnittlicher CO₂-Fußabdruck pro Kopf in Deutschland | Umweltbundesamt</t>
  </si>
  <si>
    <t>qm Wald/kg CO2/Jahr</t>
  </si>
  <si>
    <t>kg CO2/kWh/Jahr</t>
  </si>
  <si>
    <t>kg CO2/Person/Jahr</t>
  </si>
  <si>
    <t>kWh/100 km</t>
  </si>
  <si>
    <t>Umweltbilanz von Elektrofahrzeugen – Potenziale der Kreislaufwirtschaft - FfE</t>
  </si>
  <si>
    <t>kg CO2/kWh</t>
  </si>
  <si>
    <t>kWh/Jahr/kWp</t>
  </si>
  <si>
    <t>Jahren</t>
  </si>
  <si>
    <t>Netzbezug</t>
  </si>
  <si>
    <t>CO2 Belastung durch Speicher (über 20 Jahre)</t>
  </si>
  <si>
    <t>kg CO2/Jahr</t>
  </si>
  <si>
    <t>qm Wald</t>
  </si>
  <si>
    <t>Personen</t>
  </si>
  <si>
    <t>km/Jahr</t>
  </si>
  <si>
    <t>Beitrag zum Klimaschutz</t>
  </si>
  <si>
    <t>Für Fahrt mit E-Auto</t>
  </si>
  <si>
    <t>Vermiedener Pro-Kopf CO2-Fußabdruck</t>
  </si>
  <si>
    <t>Objekt</t>
  </si>
  <si>
    <t>Datum der Inbetriebnahme</t>
  </si>
  <si>
    <t>Beeinflusst die Einspeisevergütung</t>
  </si>
  <si>
    <t>Fixe Sätze für Einspeisevergütung</t>
  </si>
  <si>
    <t>Sätze bis</t>
  </si>
  <si>
    <t>Ende Jan 2024</t>
  </si>
  <si>
    <t>Sätze am</t>
  </si>
  <si>
    <t>Halbjahre nach</t>
  </si>
  <si>
    <t>Eingaben</t>
  </si>
  <si>
    <t>Simulation des Geldflusses</t>
  </si>
  <si>
    <t xml:space="preserve">Anschaffungskosten </t>
  </si>
  <si>
    <t>Jahr</t>
  </si>
  <si>
    <t>Kapital</t>
  </si>
  <si>
    <t>Rendite</t>
  </si>
  <si>
    <t>Ertrag</t>
  </si>
  <si>
    <t>Berechnet</t>
  </si>
  <si>
    <t>Ertrag pro Jahr</t>
  </si>
  <si>
    <t>p.a.</t>
  </si>
  <si>
    <t>Zur Überprüfung der Renditeberechnung</t>
  </si>
  <si>
    <t>qm/Fußballfeld</t>
  </si>
  <si>
    <t>Fussballfelder</t>
  </si>
  <si>
    <t>/kWh/Jahr</t>
  </si>
  <si>
    <t>Autarkiegrad</t>
  </si>
  <si>
    <t>Allgemeinstromverbrauch</t>
  </si>
  <si>
    <t>Eingabefeld</t>
  </si>
  <si>
    <t>Zinsen</t>
  </si>
  <si>
    <t>Fall A) Einmalige Sonderumlage</t>
  </si>
  <si>
    <t>Fall B) Rücklagenrückführung in</t>
  </si>
  <si>
    <t>Kreditsumme</t>
  </si>
  <si>
    <t>Simulation</t>
  </si>
  <si>
    <t>Kredit</t>
  </si>
  <si>
    <t>Zahlung</t>
  </si>
  <si>
    <t>Jährliche Zahlung</t>
  </si>
  <si>
    <t>Monatliche Zahlung</t>
  </si>
  <si>
    <t>Tilgungsdauer in Jahren</t>
  </si>
  <si>
    <t>Wirtschaftlichkeit</t>
  </si>
  <si>
    <t>/Wohnung</t>
  </si>
  <si>
    <t>/Monat/Wohnung</t>
  </si>
  <si>
    <t>Äquivalente Verzinsung</t>
  </si>
  <si>
    <t>Name des Objekt</t>
  </si>
  <si>
    <t>WQ StadtWerk</t>
  </si>
  <si>
    <t>Zählerstruktur ändern? (0 = Nein, 1 = Ja)</t>
  </si>
  <si>
    <t>Anzahl Wohneinheiten</t>
  </si>
  <si>
    <t>Wohneinheiten</t>
  </si>
  <si>
    <t>PV-Nennleistung</t>
  </si>
  <si>
    <t>Gesamtstromverbrauch</t>
  </si>
  <si>
    <t>Erzeugter PV Strom / Gesamtstromverbrauch</t>
  </si>
  <si>
    <t>Jahresstromverbrauch</t>
  </si>
  <si>
    <t>2,0 MWh/Jahr</t>
  </si>
  <si>
    <t>27,7 MWh/Jahr</t>
  </si>
  <si>
    <t>154,0 MWh/Jahr</t>
  </si>
  <si>
    <t>1 Wohnung</t>
  </si>
  <si>
    <t>59 Wohnungen</t>
  </si>
  <si>
    <t>Herrschaftsgarten</t>
  </si>
  <si>
    <t>StadtWerk</t>
  </si>
  <si>
    <t>2 Personen</t>
  </si>
  <si>
    <t>11 Wohnungen</t>
  </si>
  <si>
    <t>Nutzen durch Einspeisung (N2)</t>
  </si>
  <si>
    <t>von Anschaffung/Jahr</t>
  </si>
  <si>
    <t>Selbstbewohnte Wohnung</t>
  </si>
  <si>
    <t>Vermietete Wohnung</t>
  </si>
  <si>
    <t xml:space="preserve">Dank gebührt Richard Metzger von der BürgerSolarBeratung Herrenberg, </t>
  </si>
  <si>
    <t>3 E-Autos</t>
  </si>
  <si>
    <t>4 E-Autos</t>
  </si>
  <si>
    <t>Kein E-Auto</t>
  </si>
  <si>
    <t>Spezifischer Energieertrag</t>
  </si>
  <si>
    <t>Siehe Blatt "Hinweise"</t>
  </si>
  <si>
    <t>Der Energieertrag hängt von Standort, Ausrichtung und Aufstellwinkel ab.</t>
  </si>
  <si>
    <t>JRC Photovoltaic Geographical Information System (PVGIS) - European Commission (europa.eu)</t>
  </si>
  <si>
    <t>Auf der Karte links den Standort der PV-Anlage anklicken.</t>
  </si>
  <si>
    <t>Bei "Installed PV peak power [kWp]" den Wert 1 eingeben.</t>
  </si>
  <si>
    <t>"Optimize Slope" anklicken.</t>
  </si>
  <si>
    <t>Den blauen Knopf "Visualize results" anklicken.</t>
  </si>
  <si>
    <t>Links unten den Wert für "Yearly PV energy production [kWh]" ablesen und im Wirtschaftlichkeitsrechner unter "Spezifischer Energieertrag" eintragen.</t>
  </si>
  <si>
    <t>Nutzen für Bewohner/Mieter</t>
  </si>
  <si>
    <t>/Jahr/Wohnung</t>
  </si>
  <si>
    <t>Messpreise für Einspeiser nach dem Kraft-Wärme-Kopplungsgesetz 01.01.2022 (ctfassets.net)</t>
  </si>
  <si>
    <t>Laut Netze BW im August 2024</t>
  </si>
  <si>
    <t>/Jahr/Zähler</t>
  </si>
  <si>
    <t>Abhängig von PV-Nennleistung, Teil- bzw Volleinspeisung und Datum der Inbetriebnahme</t>
  </si>
  <si>
    <t>Tilgung und Zinsen werden mit Nutzen bezahlt</t>
  </si>
  <si>
    <t>Laufende Kosten (K)</t>
  </si>
  <si>
    <t>Anschaffung / (Nutzen abzgl. laufende Kosten)</t>
  </si>
  <si>
    <t xml:space="preserve">https://www.verivox.de/strom/ </t>
  </si>
  <si>
    <t>Kosten für Umbau der Zählerstruktur</t>
  </si>
  <si>
    <t>Nutzen * 20</t>
  </si>
  <si>
    <t>Finanzierung für Wohnung mit durchschnittlichen Miteigentumsanteilen</t>
  </si>
  <si>
    <t>Fall C) Tilgungsdauer eines Kredits mit</t>
  </si>
  <si>
    <t>Spalten einfügen und ähnliche Spalte kopieren</t>
  </si>
  <si>
    <t>Wirtschaftlichkeitsrechner für PV auf Mehrfamilienhäusern</t>
  </si>
  <si>
    <t>Konservative Annahmen</t>
  </si>
  <si>
    <t>Keine Steigerung des Strompreises</t>
  </si>
  <si>
    <t>Nutzungsdauer endet nach 20 Jahren</t>
  </si>
  <si>
    <t>Stromverbrauch der Wohnungen</t>
  </si>
  <si>
    <t>Zusätzlicher zukünftiger Stromverbrauch (E-Autos oder Wärmepumpe)</t>
  </si>
  <si>
    <t>Hängt von Standort, Ausrichtung und Aufstellwinkel ab.</t>
  </si>
  <si>
    <t>Spezifischer Energieertrag im ersten Jahr</t>
  </si>
  <si>
    <t>Erzeugter PV Strom (Durchschnitt während der Nutzungsdauer)</t>
  </si>
  <si>
    <t>Er wird von PV Software berechnet oder mithilfe des folgenden Links ermittelt:</t>
  </si>
  <si>
    <t>PV Nennleistung *  (1 - Mittlere Degradation) * Spezifischer Energieertrag</t>
  </si>
  <si>
    <t>Mittlere Degradation der PV Nennleistung</t>
  </si>
  <si>
    <t>Gemittelt über die Nutzungsdauer von 20 Jahren</t>
  </si>
  <si>
    <t>Nutzen in 20 Jahren für durchschnittlich große Wohnung</t>
  </si>
  <si>
    <t>Szenario 1</t>
  </si>
  <si>
    <t>Szenario 2</t>
  </si>
  <si>
    <t>Anteil der Anschaffungskosten für durchschnittlich große Wohnung</t>
  </si>
  <si>
    <t>Siehe "Ausgabeblatt" für Zusammenfassung wichtiger Annahmen und Ergebnisse</t>
  </si>
  <si>
    <t>Das ist ein Ausgabeblatt.</t>
  </si>
  <si>
    <t>Eingaben müssen im Blatt "Eingaben &amp; Berechnung" gemacht werden.</t>
  </si>
  <si>
    <t>Nicht benötigte Zeilen können einfach gelöscht werden.</t>
  </si>
  <si>
    <t>Wartung, Versicherung, Reinigung, Reparatur</t>
  </si>
  <si>
    <t>Maßgeblicher Jahresverbrauch = Gesamtverbrauch</t>
  </si>
  <si>
    <t>Maßgeblicher Jahresverbrauch = Allgemeinstromverbrauch</t>
  </si>
  <si>
    <t>Maßgeblicher Jahresverbrauch = 0. Einspeisevergütung wird automatisch richtig gewählt.</t>
  </si>
  <si>
    <t>inkl. gesparter Grundgebühr</t>
  </si>
  <si>
    <t>Rendite (Steuerfrei) bei 20 Jahren Nutzungsdauer</t>
  </si>
  <si>
    <t>Rendite (steuerfrei) bei 20 Jahren Nutzungsdauer</t>
  </si>
  <si>
    <t>Spezifische PV Kosten</t>
  </si>
  <si>
    <t>"Azimuth" eingeben. 0 für Ausrichtung nach Süden, -90 für Osten, +90 für Westen</t>
  </si>
  <si>
    <t>Bilanzielle Autarkie =
 Jahresstromertrag / Jahresstromverbrauch</t>
  </si>
  <si>
    <t>Bilanzielle Autarkie</t>
  </si>
  <si>
    <t>Jahresstromertrag / Jahresstromverbrauch</t>
  </si>
  <si>
    <t>Ertragseinbuße wegen verspäteter Einspeisevergütung nach negativen Strompreisen</t>
  </si>
  <si>
    <t>Siehe "Einspeisevergütung" im Leitfaden</t>
  </si>
  <si>
    <t>Einspeisevergütung * Eingespeister Strom * (1-Ertragseinbuße)</t>
  </si>
  <si>
    <t>Internetzugang</t>
  </si>
  <si>
    <t>Zählerpacht für Wandlermessung</t>
  </si>
  <si>
    <t>Fixe Kosten (Gerüst, Leitungen, Inbetriebnahme)</t>
  </si>
  <si>
    <t>Für Situation ohne Speicher</t>
  </si>
  <si>
    <t>Mit Speicher ist eine Simulation erforderlich, siehe Leitfaden</t>
  </si>
  <si>
    <t>Zählerpacht für Wohnungen</t>
  </si>
  <si>
    <t>/Jahr, ab 4 Wohnungen</t>
  </si>
  <si>
    <t>kWh/Jahr je Wohnung</t>
  </si>
  <si>
    <t>Für Module, Wechselrichter, Montage</t>
  </si>
  <si>
    <t>Weitere einmalige Kosten</t>
  </si>
  <si>
    <t>Z.B. Projektkosten für Mieterstrom oder GGV</t>
  </si>
  <si>
    <t>Weitere laufende Kosten</t>
  </si>
  <si>
    <t>Nutzen nur im Mieterstrommodell (N3)</t>
  </si>
  <si>
    <t>Nutzen = N1 + N2 + N3 - K</t>
  </si>
  <si>
    <t>Grundgebühren von Mietern, Mieterstromzuschlag</t>
  </si>
  <si>
    <t>Grundgebühr, die Mietern berechnet wird.</t>
  </si>
  <si>
    <t>/Jahr/</t>
  </si>
  <si>
    <t>nur ab 4 Wohnungen</t>
  </si>
  <si>
    <t>Betriebsmodell</t>
  </si>
  <si>
    <t>Einzählermodell</t>
  </si>
  <si>
    <t>Einzelanlagen</t>
  </si>
  <si>
    <t>Mieterstrom</t>
  </si>
  <si>
    <t>Allgemeinstrom</t>
  </si>
  <si>
    <t>GGV</t>
  </si>
  <si>
    <t>Betriebsmodelle</t>
  </si>
  <si>
    <t>Grundgebühren der Wohnungsstromverträge</t>
  </si>
  <si>
    <t>Nutzen durchgesparte Grundgebühren (N4)</t>
  </si>
  <si>
    <t>Klein</t>
  </si>
  <si>
    <t>Groß (realisiert)</t>
  </si>
  <si>
    <t>Direktverbrauchsquote</t>
  </si>
  <si>
    <t>der die aufwändige Berechnung aller Direktverbrauchsquoten übernommen hat.</t>
  </si>
  <si>
    <t xml:space="preserve">Direktverbrauchsquote </t>
  </si>
  <si>
    <t>Direktverbrauch</t>
  </si>
  <si>
    <t>Ohne Speicher: Siehe Blatt "Direktverbrauchsquote", mit Speicher: Simulieren</t>
  </si>
  <si>
    <t>Direktverbrauch / Gesamtstromverbrauch</t>
  </si>
  <si>
    <t>Gesamtstromverbrauch - Direktverbrauch</t>
  </si>
  <si>
    <t>Erzeugter Strom - Direktverbrauch</t>
  </si>
  <si>
    <t>Direktverbrauchsquote (Anteil des selbst verbrauchten Stroms am PV-Strom)</t>
  </si>
  <si>
    <t>Nutzen durch Direktverbrauch (N1)</t>
  </si>
  <si>
    <t>Direktverbrauch * Strompreis</t>
  </si>
  <si>
    <t>Mieterstromzuschlag auf Direktverbrauch</t>
  </si>
  <si>
    <t>Maßgeblicher Jahresverbrauch als Basis für Direktverbrauch</t>
  </si>
  <si>
    <t>Gesamtstromverbrauch * Direktverbrauchsanteil</t>
  </si>
  <si>
    <t>Nutzen = Nutzen Vermieter + N4</t>
  </si>
  <si>
    <t>Kosten für Abrechnung (Verwaltung)</t>
  </si>
  <si>
    <t>Bei Mieterstrom und GGV: Gebühren des Dienstleisters</t>
  </si>
  <si>
    <t>Copyright © Jochen Rivoir</t>
  </si>
  <si>
    <t>Anpassungen sind erlaubt. Der Copyright Hinweis darf nicht entfernt werden.</t>
  </si>
  <si>
    <t>Direktverbrauch / Erzeugter Strom</t>
  </si>
  <si>
    <t>Typischer Wert für 10 Wohneinheiten</t>
  </si>
  <si>
    <t>Nutzen für Vermieter</t>
  </si>
  <si>
    <t>Nutzen für Eigennutzer</t>
  </si>
  <si>
    <t>Verwendung nur ohne kommerzielle Interessen.</t>
  </si>
  <si>
    <t>Beachten Sie die Hinweise m Leitfaden "PV für WEGs"</t>
  </si>
  <si>
    <t>Kapitel 2.2 wenn Sie eine grobe Voruntersuchung durchführen.</t>
  </si>
  <si>
    <t>Kapitel 3.6 wenn Sie die Wirtschaftlichkeit auf Basis eine Angebots berechnen möchten.</t>
  </si>
  <si>
    <t>Kapitel 4.2 für generelle Überlegungen zur Wirtschaftlichkeit.</t>
  </si>
  <si>
    <t>Hilfestellungen finden Sie im Blatt "Hinweise" und im Leitfaden Kapitel 4.2</t>
  </si>
  <si>
    <t>https://pv4wegs.de</t>
  </si>
  <si>
    <t>Nur für Mieterstrommodell</t>
  </si>
  <si>
    <t>Stand 10.09.2025, Angaben ohne Gewähr.</t>
  </si>
  <si>
    <t>Für andere Betriebsmodelle nutze "Wirtschaftlichkeitsrechner.xlsx"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</si>
</sst>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#,##0\ &quot;€&quot;;[Red]\-#,##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_-* #,##0\ &quot;€&quot;_-;\-* #,##0\ &quot;€&quot;_-;_-* &quot;-&quot;??\ &quot;€&quot;_-;_-@_-"/>
    <numFmt numFmtId="166" formatCode="_-* #,##0.000\ &quot;€&quot;_-;\-* #,##0.000\ &quot;€&quot;_-;_-* &quot;-&quot;??\ &quot;€&quot;_-;_-@_-"/>
    <numFmt numFmtId="167" formatCode="_-* #,##0.0_-;\-* #,##0.0_-;_-* &quot;-&quot;??_-;_-@_-"/>
    <numFmt numFmtId="168" formatCode="0.0%"/>
    <numFmt numFmtId="169" formatCode="0.0"/>
    <numFmt numFmtId="170" formatCode="_-* #,##0.0000\ &quot;€&quot;_-;\-* #,##0.0000\ &quot;€&quot;_-;_-* &quot;-&quot;???\ &quot;€&quot;_-;_-@_-"/>
    <numFmt numFmtId="171" formatCode="_-* #,##0.000_-;\-* #,##0.000_-;_-* &quot;-&quot;??_-;_-@_-"/>
    <numFmt numFmtId="172" formatCode="[$-407]mmmm\ yy;@"/>
    <numFmt numFmtId="173" formatCode="_-* #,##0\ [$€-407]_-;\-* #,##0\ [$€-407]_-;_-* &quot;-&quot;??\ [$€-407]_-;_-@_-"/>
    <numFmt numFmtId="174" formatCode="#,##0.000\ &quot;€&quot;;[Red]\-#,##0.000\ &quot;€&quot;"/>
    <numFmt numFmtId="175" formatCode="#,##0\ &quot;€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89">
    <xf numFmtId="0" fontId="0" fillId="0" borderId="0" xfId="0"/>
    <xf numFmtId="164" fontId="0" fillId="0" borderId="0" xfId="1" applyNumberFormat="1" applyFont="1"/>
    <xf numFmtId="0" fontId="0" fillId="0" borderId="0" xfId="0" quotePrefix="1"/>
    <xf numFmtId="166" fontId="0" fillId="0" borderId="0" xfId="2" applyNumberFormat="1" applyFont="1"/>
    <xf numFmtId="0" fontId="3" fillId="0" borderId="0" xfId="0" applyFont="1"/>
    <xf numFmtId="0" fontId="6" fillId="0" borderId="0" xfId="0" applyFont="1"/>
    <xf numFmtId="0" fontId="0" fillId="0" borderId="0" xfId="2" applyNumberFormat="1" applyFont="1"/>
    <xf numFmtId="0" fontId="0" fillId="0" borderId="0" xfId="1" applyNumberFormat="1" applyFont="1" applyBorder="1" applyAlignment="1">
      <alignment horizontal="left"/>
    </xf>
    <xf numFmtId="164" fontId="0" fillId="0" borderId="0" xfId="1" applyNumberFormat="1" applyFont="1" applyFill="1" applyBorder="1"/>
    <xf numFmtId="165" fontId="0" fillId="0" borderId="0" xfId="2" applyNumberFormat="1" applyFont="1" applyFill="1" applyBorder="1"/>
    <xf numFmtId="0" fontId="0" fillId="0" borderId="0" xfId="0" applyAlignment="1">
      <alignment horizontal="right"/>
    </xf>
    <xf numFmtId="0" fontId="0" fillId="4" borderId="0" xfId="0" applyFill="1"/>
    <xf numFmtId="0" fontId="0" fillId="4" borderId="1" xfId="0" applyFill="1" applyBorder="1"/>
    <xf numFmtId="164" fontId="0" fillId="4" borderId="1" xfId="1" applyNumberFormat="1" applyFont="1" applyFill="1" applyBorder="1"/>
    <xf numFmtId="0" fontId="7" fillId="0" borderId="0" xfId="0" applyFont="1"/>
    <xf numFmtId="0" fontId="4" fillId="0" borderId="0" xfId="0" applyFont="1"/>
    <xf numFmtId="164" fontId="4" fillId="0" borderId="0" xfId="1" applyNumberFormat="1" applyFont="1"/>
    <xf numFmtId="0" fontId="6" fillId="0" borderId="0" xfId="0" applyFont="1" applyAlignment="1">
      <alignment horizontal="left"/>
    </xf>
    <xf numFmtId="166" fontId="5" fillId="0" borderId="0" xfId="2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0" fontId="0" fillId="4" borderId="2" xfId="0" applyFill="1" applyBorder="1" applyAlignment="1">
      <alignment horizontal="right"/>
    </xf>
    <xf numFmtId="164" fontId="0" fillId="0" borderId="0" xfId="1" applyNumberFormat="1" applyFont="1" applyFill="1"/>
    <xf numFmtId="164" fontId="0" fillId="0" borderId="3" xfId="1" applyNumberFormat="1" applyFont="1" applyFill="1" applyBorder="1"/>
    <xf numFmtId="164" fontId="0" fillId="4" borderId="3" xfId="1" applyNumberFormat="1" applyFont="1" applyFill="1" applyBorder="1" applyAlignment="1">
      <alignment horizontal="right"/>
    </xf>
    <xf numFmtId="164" fontId="0" fillId="4" borderId="4" xfId="1" applyNumberFormat="1" applyFont="1" applyFill="1" applyBorder="1" applyAlignment="1">
      <alignment horizontal="right"/>
    </xf>
    <xf numFmtId="164" fontId="0" fillId="0" borderId="3" xfId="1" applyNumberFormat="1" applyFont="1" applyBorder="1"/>
    <xf numFmtId="0" fontId="0" fillId="4" borderId="0" xfId="0" applyFill="1" applyAlignment="1">
      <alignment horizontal="center"/>
    </xf>
    <xf numFmtId="0" fontId="0" fillId="4" borderId="2" xfId="0" quotePrefix="1" applyFill="1" applyBorder="1" applyAlignment="1">
      <alignment horizontal="right"/>
    </xf>
    <xf numFmtId="0" fontId="2" fillId="0" borderId="0" xfId="4"/>
    <xf numFmtId="166" fontId="0" fillId="4" borderId="0" xfId="2" applyNumberFormat="1" applyFont="1" applyFill="1" applyAlignment="1">
      <alignment horizontal="right"/>
    </xf>
    <xf numFmtId="166" fontId="0" fillId="4" borderId="2" xfId="2" applyNumberFormat="1" applyFont="1" applyFill="1" applyBorder="1" applyAlignment="1">
      <alignment horizontal="right"/>
    </xf>
    <xf numFmtId="166" fontId="2" fillId="0" borderId="0" xfId="2" applyNumberFormat="1" applyFont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168" fontId="0" fillId="0" borderId="0" xfId="3" applyNumberFormat="1" applyFont="1" applyFill="1"/>
    <xf numFmtId="44" fontId="0" fillId="0" borderId="0" xfId="0" applyNumberFormat="1"/>
    <xf numFmtId="14" fontId="0" fillId="0" borderId="0" xfId="2" applyNumberFormat="1" applyFont="1"/>
    <xf numFmtId="43" fontId="0" fillId="0" borderId="0" xfId="1" applyFont="1" applyFill="1" applyBorder="1"/>
    <xf numFmtId="164" fontId="0" fillId="3" borderId="6" xfId="1" applyNumberFormat="1" applyFont="1" applyFill="1" applyBorder="1"/>
    <xf numFmtId="165" fontId="0" fillId="3" borderId="6" xfId="2" applyNumberFormat="1" applyFont="1" applyFill="1" applyBorder="1"/>
    <xf numFmtId="43" fontId="0" fillId="3" borderId="6" xfId="1" applyFont="1" applyFill="1" applyBorder="1"/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44" fontId="0" fillId="0" borderId="9" xfId="2" quotePrefix="1" applyFont="1" applyBorder="1"/>
    <xf numFmtId="44" fontId="0" fillId="0" borderId="2" xfId="2" applyFont="1" applyFill="1" applyBorder="1"/>
    <xf numFmtId="14" fontId="0" fillId="0" borderId="0" xfId="0" applyNumberFormat="1"/>
    <xf numFmtId="2" fontId="0" fillId="0" borderId="0" xfId="1" applyNumberFormat="1" applyFont="1"/>
    <xf numFmtId="1" fontId="0" fillId="0" borderId="0" xfId="1" applyNumberFormat="1" applyFont="1"/>
    <xf numFmtId="164" fontId="8" fillId="4" borderId="3" xfId="1" applyNumberFormat="1" applyFont="1" applyFill="1" applyBorder="1" applyAlignment="1">
      <alignment horizontal="center"/>
    </xf>
    <xf numFmtId="14" fontId="8" fillId="4" borderId="4" xfId="1" applyNumberFormat="1" applyFont="1" applyFill="1" applyBorder="1" applyAlignment="1">
      <alignment horizontal="center"/>
    </xf>
    <xf numFmtId="172" fontId="0" fillId="0" borderId="0" xfId="0" applyNumberFormat="1"/>
    <xf numFmtId="0" fontId="4" fillId="0" borderId="0" xfId="0" applyFont="1" applyAlignment="1">
      <alignment horizontal="left"/>
    </xf>
    <xf numFmtId="0" fontId="5" fillId="6" borderId="0" xfId="0" applyFont="1" applyFill="1"/>
    <xf numFmtId="1" fontId="0" fillId="5" borderId="0" xfId="1" applyNumberFormat="1" applyFont="1" applyFill="1" applyAlignment="1">
      <alignment horizontal="left"/>
    </xf>
    <xf numFmtId="0" fontId="0" fillId="5" borderId="0" xfId="0" applyFill="1"/>
    <xf numFmtId="165" fontId="0" fillId="0" borderId="0" xfId="2" applyNumberFormat="1" applyFont="1"/>
    <xf numFmtId="1" fontId="8" fillId="0" borderId="0" xfId="1" applyNumberFormat="1" applyFont="1" applyFill="1" applyAlignment="1">
      <alignment horizontal="center"/>
    </xf>
    <xf numFmtId="173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" fontId="0" fillId="0" borderId="0" xfId="1" applyNumberFormat="1" applyFont="1" applyAlignment="1">
      <alignment horizontal="center"/>
    </xf>
    <xf numFmtId="0" fontId="5" fillId="0" borderId="0" xfId="0" applyFont="1"/>
    <xf numFmtId="10" fontId="0" fillId="2" borderId="0" xfId="0" applyNumberFormat="1" applyFill="1"/>
    <xf numFmtId="44" fontId="0" fillId="0" borderId="0" xfId="2" applyFont="1"/>
    <xf numFmtId="9" fontId="0" fillId="0" borderId="0" xfId="3" applyFont="1"/>
    <xf numFmtId="44" fontId="0" fillId="2" borderId="0" xfId="0" applyNumberFormat="1" applyFill="1"/>
    <xf numFmtId="164" fontId="0" fillId="5" borderId="7" xfId="1" applyNumberFormat="1" applyFont="1" applyFill="1" applyBorder="1"/>
    <xf numFmtId="9" fontId="0" fillId="0" borderId="0" xfId="3" applyFont="1" applyFill="1"/>
    <xf numFmtId="165" fontId="6" fillId="0" borderId="0" xfId="2" applyNumberFormat="1" applyFont="1" applyFill="1"/>
    <xf numFmtId="9" fontId="0" fillId="0" borderId="0" xfId="0" applyNumberFormat="1"/>
    <xf numFmtId="0" fontId="8" fillId="5" borderId="0" xfId="0" applyFont="1" applyFill="1"/>
    <xf numFmtId="44" fontId="8" fillId="5" borderId="0" xfId="2" applyFont="1" applyFill="1"/>
    <xf numFmtId="43" fontId="0" fillId="0" borderId="0" xfId="1" applyFont="1"/>
    <xf numFmtId="0" fontId="8" fillId="0" borderId="0" xfId="0" applyFont="1"/>
    <xf numFmtId="0" fontId="3" fillId="7" borderId="0" xfId="0" applyFont="1" applyFill="1"/>
    <xf numFmtId="0" fontId="3" fillId="2" borderId="0" xfId="0" applyFont="1" applyFill="1"/>
    <xf numFmtId="0" fontId="3" fillId="8" borderId="0" xfId="0" applyFont="1" applyFill="1"/>
    <xf numFmtId="0" fontId="9" fillId="9" borderId="0" xfId="0" applyFont="1" applyFill="1"/>
    <xf numFmtId="0" fontId="7" fillId="9" borderId="0" xfId="0" applyFont="1" applyFill="1"/>
    <xf numFmtId="0" fontId="6" fillId="9" borderId="0" xfId="0" applyFont="1" applyFill="1"/>
    <xf numFmtId="0" fontId="8" fillId="2" borderId="0" xfId="0" applyFont="1" applyFill="1"/>
    <xf numFmtId="165" fontId="8" fillId="2" borderId="0" xfId="0" applyNumberFormat="1" applyFont="1" applyFill="1"/>
    <xf numFmtId="0" fontId="8" fillId="2" borderId="0" xfId="0" quotePrefix="1" applyFont="1" applyFill="1"/>
    <xf numFmtId="0" fontId="5" fillId="0" borderId="0" xfId="1" applyNumberFormat="1" applyFont="1" applyBorder="1" applyAlignment="1">
      <alignment horizontal="left"/>
    </xf>
    <xf numFmtId="0" fontId="0" fillId="10" borderId="0" xfId="0" applyFill="1"/>
    <xf numFmtId="164" fontId="0" fillId="0" borderId="0" xfId="1" applyNumberFormat="1" applyFont="1" applyFill="1" applyBorder="1" applyAlignment="1">
      <alignment horizontal="left"/>
    </xf>
    <xf numFmtId="168" fontId="8" fillId="4" borderId="0" xfId="3" applyNumberFormat="1" applyFont="1" applyFill="1" applyAlignment="1">
      <alignment horizontal="center"/>
    </xf>
    <xf numFmtId="168" fontId="12" fillId="4" borderId="2" xfId="3" applyNumberFormat="1" applyFont="1" applyFill="1" applyBorder="1" applyAlignment="1">
      <alignment horizontal="center"/>
    </xf>
    <xf numFmtId="2" fontId="8" fillId="4" borderId="3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8" fontId="1" fillId="0" borderId="0" xfId="3" applyNumberFormat="1" applyFont="1" applyAlignment="1">
      <alignment horizontal="center"/>
    </xf>
    <xf numFmtId="168" fontId="12" fillId="4" borderId="0" xfId="3" applyNumberFormat="1" applyFont="1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1" applyNumberFormat="1" applyFont="1" applyFill="1" applyBorder="1"/>
    <xf numFmtId="0" fontId="0" fillId="11" borderId="1" xfId="0" applyFill="1" applyBorder="1"/>
    <xf numFmtId="165" fontId="0" fillId="11" borderId="0" xfId="2" applyNumberFormat="1" applyFont="1" applyFill="1" applyBorder="1"/>
    <xf numFmtId="165" fontId="0" fillId="11" borderId="1" xfId="2" applyNumberFormat="1" applyFont="1" applyFill="1" applyBorder="1"/>
    <xf numFmtId="0" fontId="0" fillId="11" borderId="0" xfId="0" applyFill="1"/>
    <xf numFmtId="43" fontId="4" fillId="0" borderId="0" xfId="1" applyFont="1" applyFill="1" applyBorder="1"/>
    <xf numFmtId="165" fontId="0" fillId="3" borderId="11" xfId="2" applyNumberFormat="1" applyFont="1" applyFill="1" applyBorder="1"/>
    <xf numFmtId="0" fontId="8" fillId="10" borderId="0" xfId="0" applyFont="1" applyFill="1"/>
    <xf numFmtId="0" fontId="7" fillId="0" borderId="0" xfId="0" applyFont="1" applyAlignment="1">
      <alignment horizontal="left" indent="2"/>
    </xf>
    <xf numFmtId="164" fontId="0" fillId="5" borderId="6" xfId="1" applyNumberFormat="1" applyFont="1" applyFill="1" applyBorder="1"/>
    <xf numFmtId="0" fontId="5" fillId="0" borderId="0" xfId="0" applyFont="1" applyAlignment="1">
      <alignment horizontal="left"/>
    </xf>
    <xf numFmtId="0" fontId="8" fillId="2" borderId="12" xfId="0" applyFont="1" applyFill="1" applyBorder="1"/>
    <xf numFmtId="0" fontId="8" fillId="2" borderId="12" xfId="0" quotePrefix="1" applyFont="1" applyFill="1" applyBorder="1"/>
    <xf numFmtId="0" fontId="6" fillId="9" borderId="12" xfId="2" applyNumberFormat="1" applyFont="1" applyFill="1" applyBorder="1"/>
    <xf numFmtId="0" fontId="8" fillId="8" borderId="12" xfId="0" applyFont="1" applyFill="1" applyBorder="1"/>
    <xf numFmtId="164" fontId="8" fillId="8" borderId="12" xfId="0" applyNumberFormat="1" applyFont="1" applyFill="1" applyBorder="1"/>
    <xf numFmtId="164" fontId="7" fillId="8" borderId="12" xfId="0" applyNumberFormat="1" applyFont="1" applyFill="1" applyBorder="1"/>
    <xf numFmtId="0" fontId="0" fillId="8" borderId="12" xfId="0" applyFill="1" applyBorder="1"/>
    <xf numFmtId="164" fontId="7" fillId="8" borderId="12" xfId="1" applyNumberFormat="1" applyFont="1" applyFill="1" applyBorder="1"/>
    <xf numFmtId="167" fontId="7" fillId="8" borderId="12" xfId="1" applyNumberFormat="1" applyFont="1" applyFill="1" applyBorder="1"/>
    <xf numFmtId="0" fontId="0" fillId="8" borderId="12" xfId="0" quotePrefix="1" applyFill="1" applyBorder="1"/>
    <xf numFmtId="0" fontId="6" fillId="9" borderId="13" xfId="0" applyFont="1" applyFill="1" applyBorder="1"/>
    <xf numFmtId="0" fontId="14" fillId="2" borderId="12" xfId="0" applyFont="1" applyFill="1" applyBorder="1" applyAlignment="1">
      <alignment horizontal="left"/>
    </xf>
    <xf numFmtId="168" fontId="6" fillId="2" borderId="12" xfId="3" applyNumberFormat="1" applyFont="1" applyFill="1" applyBorder="1"/>
    <xf numFmtId="0" fontId="6" fillId="2" borderId="12" xfId="0" applyFont="1" applyFill="1" applyBorder="1"/>
    <xf numFmtId="0" fontId="14" fillId="2" borderId="12" xfId="0" applyFont="1" applyFill="1" applyBorder="1" applyAlignment="1">
      <alignment horizontal="left" indent="2"/>
    </xf>
    <xf numFmtId="0" fontId="0" fillId="7" borderId="12" xfId="0" applyFill="1" applyBorder="1"/>
    <xf numFmtId="9" fontId="0" fillId="7" borderId="12" xfId="3" applyFont="1" applyFill="1" applyBorder="1"/>
    <xf numFmtId="164" fontId="0" fillId="7" borderId="12" xfId="0" applyNumberFormat="1" applyFill="1" applyBorder="1"/>
    <xf numFmtId="9" fontId="0" fillId="7" borderId="14" xfId="3" applyFont="1" applyFill="1" applyBorder="1"/>
    <xf numFmtId="164" fontId="0" fillId="7" borderId="14" xfId="3" applyNumberFormat="1" applyFont="1" applyFill="1" applyBorder="1"/>
    <xf numFmtId="0" fontId="0" fillId="7" borderId="13" xfId="0" applyFill="1" applyBorder="1"/>
    <xf numFmtId="0" fontId="0" fillId="7" borderId="16" xfId="0" applyFill="1" applyBorder="1"/>
    <xf numFmtId="0" fontId="0" fillId="7" borderId="14" xfId="0" applyFill="1" applyBorder="1"/>
    <xf numFmtId="9" fontId="0" fillId="7" borderId="13" xfId="3" applyFont="1" applyFill="1" applyBorder="1"/>
    <xf numFmtId="9" fontId="0" fillId="7" borderId="16" xfId="3" applyFont="1" applyFill="1" applyBorder="1"/>
    <xf numFmtId="164" fontId="8" fillId="8" borderId="14" xfId="0" applyNumberFormat="1" applyFont="1" applyFill="1" applyBorder="1"/>
    <xf numFmtId="0" fontId="8" fillId="2" borderId="16" xfId="0" applyFont="1" applyFill="1" applyBorder="1"/>
    <xf numFmtId="0" fontId="8" fillId="2" borderId="14" xfId="0" applyFont="1" applyFill="1" applyBorder="1"/>
    <xf numFmtId="0" fontId="8" fillId="8" borderId="13" xfId="0" applyFont="1" applyFill="1" applyBorder="1"/>
    <xf numFmtId="0" fontId="8" fillId="8" borderId="16" xfId="0" applyFont="1" applyFill="1" applyBorder="1"/>
    <xf numFmtId="0" fontId="8" fillId="8" borderId="14" xfId="0" applyFont="1" applyFill="1" applyBorder="1"/>
    <xf numFmtId="0" fontId="7" fillId="8" borderId="13" xfId="0" applyFont="1" applyFill="1" applyBorder="1"/>
    <xf numFmtId="171" fontId="1" fillId="8" borderId="16" xfId="1" applyNumberFormat="1" applyFont="1" applyFill="1" applyBorder="1"/>
    <xf numFmtId="0" fontId="1" fillId="8" borderId="14" xfId="0" applyFont="1" applyFill="1" applyBorder="1"/>
    <xf numFmtId="43" fontId="1" fillId="8" borderId="16" xfId="1" applyFont="1" applyFill="1" applyBorder="1"/>
    <xf numFmtId="164" fontId="1" fillId="8" borderId="16" xfId="1" applyNumberFormat="1" applyFont="1" applyFill="1" applyBorder="1"/>
    <xf numFmtId="10" fontId="6" fillId="9" borderId="13" xfId="3" applyNumberFormat="1" applyFont="1" applyFill="1" applyBorder="1" applyAlignment="1">
      <alignment horizontal="left" indent="5"/>
    </xf>
    <xf numFmtId="0" fontId="16" fillId="2" borderId="13" xfId="0" applyFont="1" applyFill="1" applyBorder="1" applyAlignment="1">
      <alignment horizontal="left" indent="2"/>
    </xf>
    <xf numFmtId="0" fontId="16" fillId="2" borderId="16" xfId="0" applyFont="1" applyFill="1" applyBorder="1"/>
    <xf numFmtId="0" fontId="16" fillId="2" borderId="14" xfId="0" applyFont="1" applyFill="1" applyBorder="1"/>
    <xf numFmtId="0" fontId="16" fillId="2" borderId="12" xfId="0" applyFont="1" applyFill="1" applyBorder="1"/>
    <xf numFmtId="0" fontId="16" fillId="2" borderId="12" xfId="0" quotePrefix="1" applyFont="1" applyFill="1" applyBorder="1"/>
    <xf numFmtId="0" fontId="3" fillId="0" borderId="0" xfId="0" quotePrefix="1" applyFont="1"/>
    <xf numFmtId="0" fontId="8" fillId="2" borderId="13" xfId="0" applyFont="1" applyFill="1" applyBorder="1" applyAlignment="1">
      <alignment horizontal="left" indent="2"/>
    </xf>
    <xf numFmtId="167" fontId="8" fillId="2" borderId="14" xfId="1" applyNumberFormat="1" applyFont="1" applyFill="1" applyBorder="1"/>
    <xf numFmtId="168" fontId="8" fillId="2" borderId="14" xfId="3" applyNumberFormat="1" applyFont="1" applyFill="1" applyBorder="1"/>
    <xf numFmtId="0" fontId="8" fillId="2" borderId="0" xfId="0" applyFont="1" applyFill="1" applyAlignment="1">
      <alignment horizontal="left" indent="2"/>
    </xf>
    <xf numFmtId="168" fontId="0" fillId="0" borderId="0" xfId="0" applyNumberFormat="1"/>
    <xf numFmtId="0" fontId="3" fillId="11" borderId="0" xfId="0" applyFont="1" applyFill="1"/>
    <xf numFmtId="44" fontId="6" fillId="2" borderId="12" xfId="2" applyFont="1" applyFill="1" applyBorder="1"/>
    <xf numFmtId="0" fontId="6" fillId="2" borderId="12" xfId="0" quotePrefix="1" applyFont="1" applyFill="1" applyBorder="1"/>
    <xf numFmtId="0" fontId="8" fillId="8" borderId="19" xfId="0" applyFont="1" applyFill="1" applyBorder="1"/>
    <xf numFmtId="0" fontId="8" fillId="8" borderId="17" xfId="0" applyFont="1" applyFill="1" applyBorder="1"/>
    <xf numFmtId="0" fontId="8" fillId="8" borderId="20" xfId="0" applyFont="1" applyFill="1" applyBorder="1"/>
    <xf numFmtId="0" fontId="7" fillId="8" borderId="21" xfId="0" applyFont="1" applyFill="1" applyBorder="1"/>
    <xf numFmtId="0" fontId="0" fillId="0" borderId="13" xfId="0" applyBorder="1"/>
    <xf numFmtId="9" fontId="0" fillId="0" borderId="0" xfId="3" applyFont="1" applyFill="1" applyBorder="1"/>
    <xf numFmtId="0" fontId="0" fillId="11" borderId="12" xfId="0" applyFill="1" applyBorder="1"/>
    <xf numFmtId="43" fontId="0" fillId="11" borderId="12" xfId="1" applyFont="1" applyFill="1" applyBorder="1"/>
    <xf numFmtId="167" fontId="0" fillId="11" borderId="12" xfId="1" applyNumberFormat="1" applyFont="1" applyFill="1" applyBorder="1"/>
    <xf numFmtId="165" fontId="0" fillId="11" borderId="12" xfId="2" applyNumberFormat="1" applyFont="1" applyFill="1" applyBorder="1"/>
    <xf numFmtId="0" fontId="0" fillId="0" borderId="12" xfId="0" applyBorder="1"/>
    <xf numFmtId="164" fontId="0" fillId="7" borderId="12" xfId="1" applyNumberFormat="1" applyFont="1" applyFill="1" applyBorder="1"/>
    <xf numFmtId="0" fontId="3" fillId="2" borderId="12" xfId="0" applyFont="1" applyFill="1" applyBorder="1"/>
    <xf numFmtId="165" fontId="0" fillId="0" borderId="12" xfId="0" applyNumberFormat="1" applyBorder="1"/>
    <xf numFmtId="0" fontId="0" fillId="0" borderId="12" xfId="0" quotePrefix="1" applyBorder="1"/>
    <xf numFmtId="165" fontId="8" fillId="2" borderId="12" xfId="0" applyNumberFormat="1" applyFont="1" applyFill="1" applyBorder="1"/>
    <xf numFmtId="165" fontId="16" fillId="2" borderId="12" xfId="2" applyNumberFormat="1" applyFont="1" applyFill="1" applyBorder="1"/>
    <xf numFmtId="167" fontId="8" fillId="2" borderId="12" xfId="1" applyNumberFormat="1" applyFont="1" applyFill="1" applyBorder="1"/>
    <xf numFmtId="168" fontId="8" fillId="2" borderId="12" xfId="3" applyNumberFormat="1" applyFont="1" applyFill="1" applyBorder="1"/>
    <xf numFmtId="168" fontId="7" fillId="0" borderId="12" xfId="3" applyNumberFormat="1" applyFont="1" applyFill="1" applyBorder="1"/>
    <xf numFmtId="0" fontId="7" fillId="0" borderId="12" xfId="0" applyFont="1" applyBorder="1"/>
    <xf numFmtId="0" fontId="0" fillId="11" borderId="13" xfId="0" applyFill="1" applyBorder="1"/>
    <xf numFmtId="169" fontId="0" fillId="11" borderId="16" xfId="0" applyNumberFormat="1" applyFill="1" applyBorder="1"/>
    <xf numFmtId="0" fontId="0" fillId="11" borderId="14" xfId="0" applyFill="1" applyBorder="1"/>
    <xf numFmtId="0" fontId="0" fillId="11" borderId="16" xfId="0" applyFill="1" applyBorder="1"/>
    <xf numFmtId="165" fontId="0" fillId="11" borderId="16" xfId="2" applyNumberFormat="1" applyFont="1" applyFill="1" applyBorder="1"/>
    <xf numFmtId="0" fontId="3" fillId="7" borderId="13" xfId="0" applyFont="1" applyFill="1" applyBorder="1"/>
    <xf numFmtId="0" fontId="3" fillId="7" borderId="16" xfId="0" applyFont="1" applyFill="1" applyBorder="1"/>
    <xf numFmtId="0" fontId="3" fillId="7" borderId="14" xfId="0" applyFont="1" applyFill="1" applyBorder="1"/>
    <xf numFmtId="164" fontId="0" fillId="7" borderId="16" xfId="1" applyNumberFormat="1" applyFont="1" applyFill="1" applyBorder="1"/>
    <xf numFmtId="0" fontId="0" fillId="7" borderId="13" xfId="0" applyFill="1" applyBorder="1" applyAlignment="1">
      <alignment horizontal="left"/>
    </xf>
    <xf numFmtId="0" fontId="8" fillId="2" borderId="13" xfId="0" applyFont="1" applyFill="1" applyBorder="1"/>
    <xf numFmtId="0" fontId="14" fillId="2" borderId="13" xfId="0" applyFont="1" applyFill="1" applyBorder="1" applyAlignment="1">
      <alignment horizontal="left"/>
    </xf>
    <xf numFmtId="0" fontId="14" fillId="2" borderId="16" xfId="0" applyFont="1" applyFill="1" applyBorder="1"/>
    <xf numFmtId="168" fontId="14" fillId="2" borderId="14" xfId="3" applyNumberFormat="1" applyFont="1" applyFill="1" applyBorder="1"/>
    <xf numFmtId="0" fontId="14" fillId="2" borderId="13" xfId="0" applyFont="1" applyFill="1" applyBorder="1" applyAlignment="1">
      <alignment horizontal="left" indent="2"/>
    </xf>
    <xf numFmtId="0" fontId="14" fillId="2" borderId="14" xfId="0" applyFont="1" applyFill="1" applyBorder="1"/>
    <xf numFmtId="0" fontId="3" fillId="8" borderId="13" xfId="0" applyFont="1" applyFill="1" applyBorder="1"/>
    <xf numFmtId="0" fontId="3" fillId="8" borderId="16" xfId="0" applyFont="1" applyFill="1" applyBorder="1"/>
    <xf numFmtId="0" fontId="3" fillId="8" borderId="14" xfId="0" applyFont="1" applyFill="1" applyBorder="1"/>
    <xf numFmtId="0" fontId="16" fillId="2" borderId="13" xfId="0" applyFont="1" applyFill="1" applyBorder="1"/>
    <xf numFmtId="165" fontId="16" fillId="2" borderId="16" xfId="2" applyNumberFormat="1" applyFont="1" applyFill="1" applyBorder="1"/>
    <xf numFmtId="168" fontId="8" fillId="0" borderId="0" xfId="3" applyNumberFormat="1" applyFont="1" applyFill="1" applyBorder="1"/>
    <xf numFmtId="0" fontId="8" fillId="0" borderId="0" xfId="0" applyFont="1" applyAlignment="1">
      <alignment horizontal="left" indent="2"/>
    </xf>
    <xf numFmtId="165" fontId="0" fillId="2" borderId="1" xfId="2" applyNumberFormat="1" applyFont="1" applyFill="1" applyBorder="1"/>
    <xf numFmtId="0" fontId="8" fillId="0" borderId="5" xfId="0" applyFont="1" applyBorder="1" applyAlignment="1">
      <alignment horizontal="left" indent="2"/>
    </xf>
    <xf numFmtId="0" fontId="8" fillId="0" borderId="5" xfId="0" applyFont="1" applyBorder="1"/>
    <xf numFmtId="168" fontId="8" fillId="0" borderId="5" xfId="3" applyNumberFormat="1" applyFont="1" applyFill="1" applyBorder="1"/>
    <xf numFmtId="0" fontId="0" fillId="2" borderId="1" xfId="0" applyFill="1" applyBorder="1" applyAlignment="1">
      <alignment horizontal="left" indent="2"/>
    </xf>
    <xf numFmtId="0" fontId="0" fillId="5" borderId="6" xfId="1" applyNumberFormat="1" applyFont="1" applyFill="1" applyBorder="1" applyAlignment="1">
      <alignment horizontal="center"/>
    </xf>
    <xf numFmtId="9" fontId="0" fillId="5" borderId="6" xfId="3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166" fontId="0" fillId="3" borderId="6" xfId="2" applyNumberFormat="1" applyFont="1" applyFill="1" applyBorder="1"/>
    <xf numFmtId="0" fontId="0" fillId="0" borderId="0" xfId="2" quotePrefix="1" applyNumberFormat="1" applyFont="1"/>
    <xf numFmtId="0" fontId="0" fillId="0" borderId="0" xfId="1" applyNumberFormat="1" applyFont="1" applyFill="1" applyBorder="1" applyAlignment="1">
      <alignment horizontal="center"/>
    </xf>
    <xf numFmtId="0" fontId="0" fillId="0" borderId="0" xfId="1" applyNumberFormat="1" applyFont="1" applyFill="1" applyBorder="1" applyAlignment="1">
      <alignment horizontal="left"/>
    </xf>
    <xf numFmtId="0" fontId="0" fillId="3" borderId="6" xfId="0" applyFill="1" applyBorder="1"/>
    <xf numFmtId="0" fontId="0" fillId="5" borderId="6" xfId="0" applyFill="1" applyBorder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0" fillId="5" borderId="6" xfId="0" applyNumberFormat="1" applyFill="1" applyBorder="1"/>
    <xf numFmtId="169" fontId="0" fillId="0" borderId="0" xfId="0" applyNumberFormat="1"/>
    <xf numFmtId="165" fontId="0" fillId="0" borderId="0" xfId="0" applyNumberFormat="1"/>
    <xf numFmtId="0" fontId="0" fillId="7" borderId="0" xfId="0" applyFill="1"/>
    <xf numFmtId="10" fontId="0" fillId="5" borderId="6" xfId="0" applyNumberFormat="1" applyFill="1" applyBorder="1"/>
    <xf numFmtId="0" fontId="0" fillId="0" borderId="1" xfId="0" applyBorder="1"/>
    <xf numFmtId="0" fontId="2" fillId="0" borderId="0" xfId="4" applyFill="1"/>
    <xf numFmtId="9" fontId="0" fillId="3" borderId="10" xfId="0" applyNumberFormat="1" applyFill="1" applyBorder="1"/>
    <xf numFmtId="164" fontId="0" fillId="4" borderId="0" xfId="0" applyNumberFormat="1" applyFill="1"/>
    <xf numFmtId="164" fontId="0" fillId="0" borderId="0" xfId="0" applyNumberFormat="1"/>
    <xf numFmtId="164" fontId="0" fillId="7" borderId="14" xfId="0" applyNumberFormat="1" applyFill="1" applyBorder="1"/>
    <xf numFmtId="0" fontId="0" fillId="11" borderId="1" xfId="0" quotePrefix="1" applyFill="1" applyBorder="1"/>
    <xf numFmtId="170" fontId="0" fillId="0" borderId="0" xfId="0" applyNumberFormat="1"/>
    <xf numFmtId="6" fontId="0" fillId="3" borderId="7" xfId="0" applyNumberFormat="1" applyFill="1" applyBorder="1"/>
    <xf numFmtId="174" fontId="0" fillId="3" borderId="7" xfId="0" applyNumberFormat="1" applyFill="1" applyBorder="1"/>
    <xf numFmtId="10" fontId="0" fillId="3" borderId="6" xfId="0" applyNumberFormat="1" applyFill="1" applyBorder="1"/>
    <xf numFmtId="6" fontId="0" fillId="3" borderId="6" xfId="0" applyNumberFormat="1" applyFill="1" applyBorder="1"/>
    <xf numFmtId="165" fontId="0" fillId="11" borderId="1" xfId="0" applyNumberFormat="1" applyFill="1" applyBorder="1"/>
    <xf numFmtId="6" fontId="0" fillId="5" borderId="6" xfId="0" applyNumberFormat="1" applyFill="1" applyBorder="1"/>
    <xf numFmtId="0" fontId="0" fillId="2" borderId="1" xfId="0" quotePrefix="1" applyFill="1" applyBorder="1"/>
    <xf numFmtId="0" fontId="12" fillId="2" borderId="12" xfId="0" applyFont="1" applyFill="1" applyBorder="1"/>
    <xf numFmtId="168" fontId="12" fillId="2" borderId="12" xfId="3" applyNumberFormat="1" applyFont="1" applyFill="1" applyBorder="1"/>
    <xf numFmtId="168" fontId="0" fillId="2" borderId="12" xfId="3" applyNumberFormat="1" applyFont="1" applyFill="1" applyBorder="1"/>
    <xf numFmtId="0" fontId="0" fillId="2" borderId="12" xfId="0" applyFill="1" applyBorder="1"/>
    <xf numFmtId="10" fontId="8" fillId="0" borderId="0" xfId="3" applyNumberFormat="1" applyFont="1" applyFill="1" applyBorder="1"/>
    <xf numFmtId="0" fontId="8" fillId="9" borderId="0" xfId="0" applyFont="1" applyFill="1"/>
    <xf numFmtId="10" fontId="8" fillId="9" borderId="0" xfId="3" applyNumberFormat="1" applyFont="1" applyFill="1" applyBorder="1"/>
    <xf numFmtId="165" fontId="0" fillId="9" borderId="15" xfId="2" applyNumberFormat="1" applyFont="1" applyFill="1" applyBorder="1"/>
    <xf numFmtId="165" fontId="0" fillId="9" borderId="12" xfId="2" applyNumberFormat="1" applyFont="1" applyFill="1" applyBorder="1"/>
    <xf numFmtId="165" fontId="0" fillId="9" borderId="14" xfId="2" applyNumberFormat="1" applyFont="1" applyFill="1" applyBorder="1"/>
    <xf numFmtId="165" fontId="0" fillId="9" borderId="12" xfId="2" quotePrefix="1" applyNumberFormat="1" applyFont="1" applyFill="1" applyBorder="1"/>
    <xf numFmtId="0" fontId="0" fillId="9" borderId="14" xfId="0" applyFill="1" applyBorder="1"/>
    <xf numFmtId="44" fontId="0" fillId="9" borderId="14" xfId="2" applyFont="1" applyFill="1" applyBorder="1"/>
    <xf numFmtId="0" fontId="0" fillId="9" borderId="12" xfId="0" quotePrefix="1" applyFill="1" applyBorder="1"/>
    <xf numFmtId="9" fontId="0" fillId="5" borderId="6" xfId="0" applyNumberFormat="1" applyFill="1" applyBorder="1"/>
    <xf numFmtId="10" fontId="8" fillId="9" borderId="14" xfId="3" applyNumberFormat="1" applyFont="1" applyFill="1" applyBorder="1"/>
    <xf numFmtId="10" fontId="8" fillId="9" borderId="12" xfId="3" applyNumberFormat="1" applyFont="1" applyFill="1" applyBorder="1"/>
    <xf numFmtId="10" fontId="8" fillId="9" borderId="18" xfId="3" applyNumberFormat="1" applyFont="1" applyFill="1" applyBorder="1"/>
    <xf numFmtId="167" fontId="0" fillId="9" borderId="14" xfId="1" applyNumberFormat="1" applyFont="1" applyFill="1" applyBorder="1" applyAlignment="1">
      <alignment horizontal="right"/>
    </xf>
    <xf numFmtId="0" fontId="0" fillId="9" borderId="12" xfId="0" applyFill="1" applyBorder="1"/>
    <xf numFmtId="10" fontId="8" fillId="9" borderId="16" xfId="3" applyNumberFormat="1" applyFont="1" applyFill="1" applyBorder="1"/>
    <xf numFmtId="167" fontId="0" fillId="9" borderId="14" xfId="1" applyNumberFormat="1" applyFont="1" applyFill="1" applyBorder="1" applyAlignment="1">
      <alignment horizontal="right" indent="1"/>
    </xf>
    <xf numFmtId="0" fontId="0" fillId="8" borderId="0" xfId="0" applyFill="1"/>
    <xf numFmtId="0" fontId="0" fillId="0" borderId="16" xfId="0" applyBorder="1"/>
    <xf numFmtId="0" fontId="0" fillId="0" borderId="14" xfId="0" applyBorder="1"/>
    <xf numFmtId="171" fontId="0" fillId="8" borderId="18" xfId="1" applyNumberFormat="1" applyFont="1" applyFill="1" applyBorder="1"/>
    <xf numFmtId="0" fontId="0" fillId="8" borderId="22" xfId="0" applyFill="1" applyBorder="1"/>
    <xf numFmtId="43" fontId="0" fillId="8" borderId="16" xfId="1" applyFont="1" applyFill="1" applyBorder="1"/>
    <xf numFmtId="0" fontId="0" fillId="8" borderId="14" xfId="0" applyFill="1" applyBorder="1"/>
    <xf numFmtId="164" fontId="8" fillId="8" borderId="14" xfId="1" applyNumberFormat="1" applyFont="1" applyFill="1" applyBorder="1"/>
    <xf numFmtId="167" fontId="8" fillId="8" borderId="14" xfId="1" applyNumberFormat="1" applyFont="1" applyFill="1" applyBorder="1"/>
    <xf numFmtId="164" fontId="0" fillId="8" borderId="17" xfId="1" applyNumberFormat="1" applyFont="1" applyFill="1" applyBorder="1"/>
    <xf numFmtId="0" fontId="2" fillId="10" borderId="0" xfId="4" applyFill="1"/>
    <xf numFmtId="0" fontId="0" fillId="10" borderId="0" xfId="0" applyFill="1" applyAlignment="1">
      <alignment horizontal="left"/>
    </xf>
    <xf numFmtId="0" fontId="0" fillId="9" borderId="0" xfId="0" applyFill="1"/>
    <xf numFmtId="165" fontId="0" fillId="0" borderId="0" xfId="2" applyNumberFormat="1" applyFont="1" applyFill="1"/>
    <xf numFmtId="0" fontId="2" fillId="0" borderId="0" xfId="4" applyNumberFormat="1" applyFill="1"/>
    <xf numFmtId="9" fontId="0" fillId="7" borderId="14" xfId="3" applyFont="1" applyFill="1" applyBorder="1" applyAlignment="1">
      <alignment horizontal="right"/>
    </xf>
    <xf numFmtId="165" fontId="3" fillId="11" borderId="0" xfId="2" applyNumberFormat="1" applyFont="1" applyFill="1" applyBorder="1"/>
    <xf numFmtId="0" fontId="3" fillId="0" borderId="0" xfId="2" applyNumberFormat="1" applyFont="1"/>
    <xf numFmtId="0" fontId="0" fillId="0" borderId="5" xfId="0" applyBorder="1"/>
    <xf numFmtId="165" fontId="16" fillId="2" borderId="14" xfId="2" applyNumberFormat="1" applyFont="1" applyFill="1" applyBorder="1"/>
    <xf numFmtId="0" fontId="16" fillId="0" borderId="0" xfId="0" applyFont="1"/>
    <xf numFmtId="175" fontId="0" fillId="0" borderId="0" xfId="0" applyNumberFormat="1" applyAlignment="1">
      <alignment horizontal="center"/>
    </xf>
    <xf numFmtId="44" fontId="0" fillId="11" borderId="1" xfId="2" applyFont="1" applyFill="1" applyBorder="1"/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68" fontId="8" fillId="4" borderId="0" xfId="3" applyNumberFormat="1" applyFont="1" applyFill="1" applyBorder="1" applyAlignment="1">
      <alignment horizontal="center"/>
    </xf>
    <xf numFmtId="168" fontId="8" fillId="4" borderId="0" xfId="3" applyNumberFormat="1" applyFont="1" applyFill="1" applyAlignment="1">
      <alignment horizontal="center"/>
    </xf>
    <xf numFmtId="0" fontId="13" fillId="4" borderId="0" xfId="0" applyFont="1" applyFill="1" applyAlignment="1">
      <alignment horizontal="center" vertical="center" textRotation="90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v>1 Wohnung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Direktverbrauchsquote!$C$9:$C$22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Direktverbrauchsquote!$D$9:$D$22</c:f>
              <c:numCache>
                <c:formatCode>0.0%</c:formatCode>
                <c:ptCount val="14"/>
                <c:pt idx="0">
                  <c:v>0.753</c:v>
                </c:pt>
                <c:pt idx="1">
                  <c:v>0.58599999999999997</c:v>
                </c:pt>
                <c:pt idx="2">
                  <c:v>0.49199999999999999</c:v>
                </c:pt>
                <c:pt idx="3">
                  <c:v>0.43</c:v>
                </c:pt>
                <c:pt idx="4">
                  <c:v>0.38500000000000001</c:v>
                </c:pt>
                <c:pt idx="5">
                  <c:v>0.31</c:v>
                </c:pt>
                <c:pt idx="6">
                  <c:v>0.24399999999999999</c:v>
                </c:pt>
                <c:pt idx="7">
                  <c:v>0.23200000000000001</c:v>
                </c:pt>
                <c:pt idx="8">
                  <c:v>0.20799999999999999</c:v>
                </c:pt>
                <c:pt idx="9">
                  <c:v>0.17199999999999999</c:v>
                </c:pt>
                <c:pt idx="10">
                  <c:v>0.14799999999999999</c:v>
                </c:pt>
                <c:pt idx="11">
                  <c:v>0.129</c:v>
                </c:pt>
                <c:pt idx="12">
                  <c:v>0.104</c:v>
                </c:pt>
                <c:pt idx="13">
                  <c:v>8.6999999999999994E-2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3B-4208-A267-7B452CA7C0F8}"/>
            </c:ext>
          </c:extLst>
        </c:ser>
        <c:ser>
          <c:idx val="1"/>
          <c:order val="1"/>
          <c:tx>
            <c:v>11 Wohnungen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Direktverbrauchsquote!$C$9:$C$22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Direktverbrauchsquote!$E$9:$E$22</c:f>
              <c:numCache>
                <c:formatCode>0.0%</c:formatCode>
                <c:ptCount val="14"/>
                <c:pt idx="0">
                  <c:v>0.999</c:v>
                </c:pt>
                <c:pt idx="1">
                  <c:v>0.94399999999999995</c:v>
                </c:pt>
                <c:pt idx="2">
                  <c:v>0.84</c:v>
                </c:pt>
                <c:pt idx="3">
                  <c:v>0.73899999999999999</c:v>
                </c:pt>
                <c:pt idx="4">
                  <c:v>0.65500000000000003</c:v>
                </c:pt>
                <c:pt idx="5">
                  <c:v>0.504</c:v>
                </c:pt>
                <c:pt idx="6">
                  <c:v>0.40799999999999997</c:v>
                </c:pt>
                <c:pt idx="7">
                  <c:v>0.34300000000000003</c:v>
                </c:pt>
                <c:pt idx="8">
                  <c:v>0.29599999999999999</c:v>
                </c:pt>
                <c:pt idx="9">
                  <c:v>0.23200000000000001</c:v>
                </c:pt>
                <c:pt idx="10">
                  <c:v>0.191</c:v>
                </c:pt>
                <c:pt idx="11">
                  <c:v>0.16200000000000001</c:v>
                </c:pt>
                <c:pt idx="12">
                  <c:v>0.125</c:v>
                </c:pt>
                <c:pt idx="13">
                  <c:v>0.10100000000000001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3B-4208-A267-7B452CA7C0F8}"/>
            </c:ext>
          </c:extLst>
        </c:ser>
        <c:ser>
          <c:idx val="2"/>
          <c:order val="2"/>
          <c:tx>
            <c:v>59 Wohnungen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Direktverbrauchsquote!$C$9:$C$22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0.75</c:v>
                </c:pt>
                <c:pt idx="6">
                  <c:v>1</c:v>
                </c:pt>
                <c:pt idx="7">
                  <c:v>1.25</c:v>
                </c:pt>
                <c:pt idx="8">
                  <c:v>1.5</c:v>
                </c:pt>
                <c:pt idx="9">
                  <c:v>2</c:v>
                </c:pt>
                <c:pt idx="10">
                  <c:v>2.5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</c:numCache>
            </c:numRef>
          </c:xVal>
          <c:yVal>
            <c:numRef>
              <c:f>Direktverbrauchsquote!$F$9:$F$22</c:f>
              <c:numCache>
                <c:formatCode>0.0%</c:formatCode>
                <c:ptCount val="14"/>
                <c:pt idx="0">
                  <c:v>1</c:v>
                </c:pt>
                <c:pt idx="1">
                  <c:v>0.95499999999999996</c:v>
                </c:pt>
                <c:pt idx="2">
                  <c:v>0.83599999999999997</c:v>
                </c:pt>
                <c:pt idx="3">
                  <c:v>0.72799999999999998</c:v>
                </c:pt>
                <c:pt idx="4">
                  <c:v>0.64</c:v>
                </c:pt>
                <c:pt idx="5">
                  <c:v>0.48599999999999999</c:v>
                </c:pt>
                <c:pt idx="6">
                  <c:v>0.38900000000000001</c:v>
                </c:pt>
                <c:pt idx="7">
                  <c:v>0.32500000000000001</c:v>
                </c:pt>
                <c:pt idx="8">
                  <c:v>0.27900000000000003</c:v>
                </c:pt>
                <c:pt idx="9">
                  <c:v>0.218</c:v>
                </c:pt>
                <c:pt idx="10">
                  <c:v>0.17899999999999999</c:v>
                </c:pt>
                <c:pt idx="11">
                  <c:v>0.152</c:v>
                </c:pt>
                <c:pt idx="12">
                  <c:v>0.11600000000000001</c:v>
                </c:pt>
                <c:pt idx="13">
                  <c:v>9.4E-2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3B-4208-A267-7B452CA7C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0679407"/>
        <c:axId val="1450682767"/>
      </c:scatterChart>
      <c:valAx>
        <c:axId val="1450679407"/>
        <c:scaling>
          <c:orientation val="minMax"/>
          <c:max val="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Bilanzielle Autarkie = Jahresstromertrag / Jahresstromverbrauch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682767"/>
        <c:crosses val="autoZero"/>
        <c:crossBetween val="midCat"/>
      </c:valAx>
      <c:valAx>
        <c:axId val="1450682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Direktverbrauchsquote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506794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7</xdr:row>
      <xdr:rowOff>185737</xdr:rowOff>
    </xdr:from>
    <xdr:to>
      <xdr:col>16</xdr:col>
      <xdr:colOff>19050</xdr:colOff>
      <xdr:row>24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75E9F-B668-41AC-3FDE-DF9582FA90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38099</xdr:rowOff>
    </xdr:from>
    <xdr:to>
      <xdr:col>2</xdr:col>
      <xdr:colOff>285750</xdr:colOff>
      <xdr:row>18</xdr:row>
      <xdr:rowOff>47624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893160F6-B475-446D-A2F8-5E3CCC7A01CF}"/>
            </a:ext>
          </a:extLst>
        </xdr:cNvPr>
        <xdr:cNvSpPr/>
      </xdr:nvSpPr>
      <xdr:spPr>
        <a:xfrm>
          <a:off x="3705225" y="3086099"/>
          <a:ext cx="1133475" cy="390525"/>
        </a:xfrm>
        <a:prstGeom prst="wedgeRoundRectCallout">
          <a:avLst>
            <a:gd name="adj1" fmla="val 4378"/>
            <a:gd name="adj2" fmla="val -398283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19050</xdr:colOff>
      <xdr:row>15</xdr:row>
      <xdr:rowOff>85725</xdr:rowOff>
    </xdr:from>
    <xdr:to>
      <xdr:col>3</xdr:col>
      <xdr:colOff>0</xdr:colOff>
      <xdr:row>19</xdr:row>
      <xdr:rowOff>9525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88541701-608F-44B0-B51E-8A0813810D03}"/>
            </a:ext>
          </a:extLst>
        </xdr:cNvPr>
        <xdr:cNvSpPr/>
      </xdr:nvSpPr>
      <xdr:spPr>
        <a:xfrm>
          <a:off x="19050" y="2943225"/>
          <a:ext cx="2781300" cy="685800"/>
        </a:xfrm>
        <a:prstGeom prst="wedgeRoundRectCallout">
          <a:avLst>
            <a:gd name="adj1" fmla="val 94993"/>
            <a:gd name="adj2" fmla="val 187626"/>
            <a:gd name="adj3" fmla="val 16667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Die Rendite so verstellen, dass das Kapital nach 20 Jahren aufgebraucht ist.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DD13EB-6314-448C-A2CC-06F9FBB94445}" name="Table1" displayName="Table1" ref="B2:B8" totalsRowShown="0">
  <autoFilter ref="B2:B8" xr:uid="{BEDD13EB-6314-448C-A2CC-06F9FBB94445}"/>
  <tableColumns count="1">
    <tableColumn id="1" xr3:uid="{6AA76ACD-6301-446A-B9C9-4DC6B9412BD1}" name="Betriebsmodel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ald.de/waldwissen/wie-viel-kohlendioxid-co2-speichert-der-wald-bzw-ein-baum/" TargetMode="External"/><Relationship Id="rId7" Type="http://schemas.openxmlformats.org/officeDocument/2006/relationships/hyperlink" Target="https://pv4wegs.de/" TargetMode="External"/><Relationship Id="rId2" Type="http://schemas.openxmlformats.org/officeDocument/2006/relationships/hyperlink" Target="https://www.umweltbundesamt.de/bild/durchschnittlicher-co2-fussabdruck-pro-kopf-in" TargetMode="External"/><Relationship Id="rId1" Type="http://schemas.openxmlformats.org/officeDocument/2006/relationships/hyperlink" Target="https://www.ffe.de/veroeffentlichungen/umweltbilanz-von-elektrofahrzeugen-potenziale-der-kreislaufwirtschaft/" TargetMode="External"/><Relationship Id="rId6" Type="http://schemas.openxmlformats.org/officeDocument/2006/relationships/hyperlink" Target="https://www.verivox.de/strom/" TargetMode="External"/><Relationship Id="rId5" Type="http://schemas.openxmlformats.org/officeDocument/2006/relationships/hyperlink" Target="https://assets.ctfassets.net/xytfb1vrn7of/fEyKny9vSL0zsgtzvGjiv/6f6fe41313fa7b200ed51694c32dc96c/messpreise-fuer-einspeiser-nach-dem-kraft-waerme-kopplungsgesetz-2022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umweltbundesamt.de/themen/klima-energie/erneuerbare-energien/photovoltaik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e.jrc.ec.europa.eu/pvg_tools/e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olarwirtschaft.de/datawall/uploads/2023/01/bsw_verguetungssaetze_aktuell.pdf" TargetMode="External"/><Relationship Id="rId1" Type="http://schemas.openxmlformats.org/officeDocument/2006/relationships/hyperlink" Target="https://www.solarwirtschaft.de/datawall/uploads/2023/01/bsw_verguetungssaetze_aktuell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AAC8A-51DB-44CC-87D2-D10984CED971}">
  <dimension ref="A1:K101"/>
  <sheetViews>
    <sheetView tabSelected="1" zoomScale="85" zoomScaleNormal="85" workbookViewId="0">
      <pane ySplit="6" topLeftCell="A7" activePane="bottomLeft" state="frozen"/>
      <selection pane="bottomLeft" activeCell="E66" sqref="E66"/>
    </sheetView>
  </sheetViews>
  <sheetFormatPr defaultRowHeight="15" x14ac:dyDescent="0.25"/>
  <cols>
    <col min="1" max="1" width="5.28515625" customWidth="1"/>
    <col min="2" max="2" width="38.140625" customWidth="1"/>
    <col min="3" max="3" width="15.42578125" customWidth="1"/>
    <col min="4" max="4" width="23.140625" customWidth="1"/>
    <col min="5" max="6" width="20.7109375" customWidth="1"/>
    <col min="7" max="7" width="19.7109375" customWidth="1"/>
    <col min="8" max="8" width="4.140625" customWidth="1"/>
    <col min="9" max="9" width="60.5703125" customWidth="1"/>
  </cols>
  <sheetData>
    <row r="1" spans="1:9" ht="15.75" thickBot="1" x14ac:dyDescent="0.3">
      <c r="A1" s="100" t="s">
        <v>147</v>
      </c>
      <c r="B1" s="83"/>
      <c r="C1" s="83"/>
      <c r="D1" s="212" t="s">
        <v>82</v>
      </c>
      <c r="E1" s="32"/>
      <c r="F1" s="32"/>
      <c r="I1" s="83" t="s">
        <v>243</v>
      </c>
    </row>
    <row r="2" spans="1:9" x14ac:dyDescent="0.25">
      <c r="A2" t="s">
        <v>240</v>
      </c>
      <c r="E2" t="s">
        <v>164</v>
      </c>
      <c r="I2" s="83" t="s">
        <v>229</v>
      </c>
    </row>
    <row r="3" spans="1:9" x14ac:dyDescent="0.25">
      <c r="I3" s="269" t="s">
        <v>241</v>
      </c>
    </row>
    <row r="4" spans="1:9" ht="19.5" thickBot="1" x14ac:dyDescent="0.35">
      <c r="A4" s="4" t="s">
        <v>58</v>
      </c>
      <c r="E4" s="88" t="s">
        <v>161</v>
      </c>
      <c r="F4" s="88" t="s">
        <v>162</v>
      </c>
      <c r="I4" s="83" t="s">
        <v>235</v>
      </c>
    </row>
    <row r="5" spans="1:9" ht="15.75" thickBot="1" x14ac:dyDescent="0.3">
      <c r="B5" t="s">
        <v>97</v>
      </c>
      <c r="C5" s="213" t="s">
        <v>98</v>
      </c>
      <c r="E5" s="214" t="s">
        <v>210</v>
      </c>
      <c r="F5" s="214" t="s">
        <v>211</v>
      </c>
      <c r="I5" s="270" t="s">
        <v>230</v>
      </c>
    </row>
    <row r="6" spans="1:9" ht="15.75" thickBot="1" x14ac:dyDescent="0.3">
      <c r="C6" s="84"/>
      <c r="E6" s="215" t="s">
        <v>202</v>
      </c>
      <c r="F6" s="215" t="s">
        <v>202</v>
      </c>
    </row>
    <row r="7" spans="1:9" ht="15.75" thickBot="1" x14ac:dyDescent="0.3">
      <c r="B7" t="s">
        <v>100</v>
      </c>
      <c r="C7" s="204">
        <v>59</v>
      </c>
      <c r="D7" s="32" t="s">
        <v>101</v>
      </c>
      <c r="E7" s="88">
        <f>$C7</f>
        <v>59</v>
      </c>
      <c r="F7" s="88">
        <f t="shared" ref="F7" si="0">$C7</f>
        <v>59</v>
      </c>
      <c r="G7" s="32" t="s">
        <v>101</v>
      </c>
      <c r="I7" s="32"/>
    </row>
    <row r="8" spans="1:9" x14ac:dyDescent="0.25">
      <c r="C8" s="210"/>
      <c r="D8" s="32"/>
      <c r="E8" s="88"/>
      <c r="F8" s="88"/>
      <c r="G8" s="32"/>
    </row>
    <row r="9" spans="1:9" ht="18.75" x14ac:dyDescent="0.3">
      <c r="A9" s="4" t="s">
        <v>201</v>
      </c>
      <c r="C9" s="211"/>
      <c r="D9" s="32"/>
      <c r="E9" s="216" t="s">
        <v>202</v>
      </c>
      <c r="F9" s="216" t="s">
        <v>202</v>
      </c>
      <c r="G9" s="32"/>
      <c r="I9" t="s">
        <v>244</v>
      </c>
    </row>
    <row r="10" spans="1:9" x14ac:dyDescent="0.25">
      <c r="C10" s="84"/>
      <c r="E10" s="216"/>
      <c r="F10" s="216"/>
    </row>
    <row r="11" spans="1:9" ht="19.5" thickBot="1" x14ac:dyDescent="0.35">
      <c r="A11" s="4" t="s">
        <v>30</v>
      </c>
    </row>
    <row r="12" spans="1:9" ht="15.75" thickBot="1" x14ac:dyDescent="0.3">
      <c r="B12" t="s">
        <v>59</v>
      </c>
      <c r="C12" s="217">
        <v>45931</v>
      </c>
      <c r="E12" s="37"/>
      <c r="F12" s="37"/>
      <c r="I12" t="s">
        <v>60</v>
      </c>
    </row>
    <row r="13" spans="1:9" ht="15.75" thickBot="1" x14ac:dyDescent="0.3">
      <c r="B13" t="s">
        <v>102</v>
      </c>
      <c r="C13" s="218"/>
      <c r="E13" s="40">
        <v>60</v>
      </c>
      <c r="F13" s="40">
        <v>95.5</v>
      </c>
      <c r="G13" t="s">
        <v>0</v>
      </c>
    </row>
    <row r="14" spans="1:9" ht="15.75" thickBot="1" x14ac:dyDescent="0.3">
      <c r="B14" t="s">
        <v>26</v>
      </c>
      <c r="E14" s="40">
        <v>0</v>
      </c>
      <c r="F14" s="40">
        <v>0</v>
      </c>
      <c r="G14" t="s">
        <v>12</v>
      </c>
    </row>
    <row r="16" spans="1:9" s="4" customFormat="1" ht="19.5" thickBot="1" x14ac:dyDescent="0.35">
      <c r="A16" s="4" t="s">
        <v>10</v>
      </c>
      <c r="C16"/>
      <c r="D16"/>
      <c r="E16"/>
      <c r="F16"/>
      <c r="G16"/>
      <c r="H16"/>
      <c r="I16"/>
    </row>
    <row r="17" spans="1:9" ht="15.75" thickBot="1" x14ac:dyDescent="0.3">
      <c r="A17" s="2"/>
      <c r="B17" s="33" t="s">
        <v>185</v>
      </c>
      <c r="C17" s="39">
        <v>4000</v>
      </c>
      <c r="D17" s="2"/>
      <c r="E17" s="9">
        <f>$C17</f>
        <v>4000</v>
      </c>
      <c r="F17" s="9">
        <f>$C17</f>
        <v>4000</v>
      </c>
    </row>
    <row r="18" spans="1:9" ht="15.75" thickBot="1" x14ac:dyDescent="0.3">
      <c r="A18" s="2"/>
      <c r="B18" s="33" t="s">
        <v>175</v>
      </c>
      <c r="C18" s="39">
        <v>1100</v>
      </c>
      <c r="D18" s="2" t="s">
        <v>19</v>
      </c>
      <c r="E18" s="219">
        <f>$C18</f>
        <v>1100</v>
      </c>
      <c r="F18" s="219">
        <f t="shared" ref="F18" si="1">$C18</f>
        <v>1100</v>
      </c>
      <c r="I18" t="s">
        <v>191</v>
      </c>
    </row>
    <row r="19" spans="1:9" x14ac:dyDescent="0.25">
      <c r="A19" s="2"/>
      <c r="B19" s="33" t="s">
        <v>8</v>
      </c>
      <c r="C19" s="9"/>
      <c r="D19" s="2"/>
      <c r="E19" s="9">
        <f>E13*E18</f>
        <v>66000</v>
      </c>
      <c r="F19" s="9">
        <f t="shared" ref="F19" si="2">F13*F18</f>
        <v>105050</v>
      </c>
    </row>
    <row r="20" spans="1:9" ht="15.75" thickBot="1" x14ac:dyDescent="0.3">
      <c r="A20" s="2"/>
      <c r="B20" s="33" t="s">
        <v>99</v>
      </c>
      <c r="C20" s="9"/>
      <c r="D20" s="2"/>
      <c r="E20" s="210">
        <v>1</v>
      </c>
      <c r="F20" s="210">
        <v>1</v>
      </c>
    </row>
    <row r="21" spans="1:9" ht="15.75" thickBot="1" x14ac:dyDescent="0.3">
      <c r="A21" s="2"/>
      <c r="B21" s="33" t="s">
        <v>142</v>
      </c>
      <c r="C21" s="39">
        <v>5000</v>
      </c>
      <c r="D21" s="2" t="s">
        <v>200</v>
      </c>
      <c r="E21" s="9">
        <f>IF(AND(E20,E7&gt;=4),$C21,0)</f>
        <v>5000</v>
      </c>
      <c r="F21" s="9">
        <f t="shared" ref="F21" si="3">IF(AND(F20,F7&gt;=4),$C21,0)</f>
        <v>5000</v>
      </c>
      <c r="I21" t="s">
        <v>232</v>
      </c>
    </row>
    <row r="22" spans="1:9" ht="15.75" thickBot="1" x14ac:dyDescent="0.3">
      <c r="A22" s="2"/>
      <c r="B22" s="33" t="s">
        <v>9</v>
      </c>
      <c r="C22" s="39">
        <v>550</v>
      </c>
      <c r="D22" s="2" t="s">
        <v>2</v>
      </c>
      <c r="E22" s="9">
        <f>E14*$C22</f>
        <v>0</v>
      </c>
      <c r="F22" s="9">
        <f>F14*$C22</f>
        <v>0</v>
      </c>
      <c r="I22" t="s">
        <v>27</v>
      </c>
    </row>
    <row r="23" spans="1:9" ht="15.75" thickBot="1" x14ac:dyDescent="0.3">
      <c r="A23" s="2"/>
      <c r="B23" s="33" t="s">
        <v>192</v>
      </c>
      <c r="C23" s="9"/>
      <c r="D23" s="2"/>
      <c r="E23" s="99">
        <v>0</v>
      </c>
      <c r="F23" s="99">
        <v>0</v>
      </c>
      <c r="I23" t="s">
        <v>193</v>
      </c>
    </row>
    <row r="24" spans="1:9" x14ac:dyDescent="0.25">
      <c r="A24" s="2"/>
      <c r="B24" s="94" t="s">
        <v>10</v>
      </c>
      <c r="C24" s="96"/>
      <c r="D24" s="94"/>
      <c r="E24" s="95">
        <f>E19+E17+E21+E22+E23</f>
        <v>75000</v>
      </c>
      <c r="F24" s="95">
        <f>F19+F17+F21+F22+F23</f>
        <v>114050</v>
      </c>
      <c r="G24" s="94"/>
      <c r="I24" s="6"/>
    </row>
    <row r="26" spans="1:9" s="4" customFormat="1" ht="18.75" x14ac:dyDescent="0.3">
      <c r="A26" s="146"/>
      <c r="B26" s="152" t="s">
        <v>163</v>
      </c>
      <c r="C26" s="275"/>
      <c r="D26" s="152"/>
      <c r="E26" s="275">
        <f t="shared" ref="E26:F26" si="4">E24/E7</f>
        <v>1271.1864406779662</v>
      </c>
      <c r="F26" s="275">
        <f t="shared" si="4"/>
        <v>1933.050847457627</v>
      </c>
      <c r="G26" s="152"/>
      <c r="I26" s="276"/>
    </row>
    <row r="28" spans="1:9" s="73" customFormat="1" ht="19.5" thickBot="1" x14ac:dyDescent="0.35">
      <c r="A28" s="73" t="s">
        <v>28</v>
      </c>
      <c r="C28" s="220"/>
      <c r="D28" s="220"/>
      <c r="E28" s="220"/>
      <c r="F28" s="220"/>
      <c r="G28" s="220"/>
      <c r="H28" s="220"/>
      <c r="I28" s="220"/>
    </row>
    <row r="29" spans="1:9" ht="15.75" thickBot="1" x14ac:dyDescent="0.3">
      <c r="B29" s="32" t="s">
        <v>158</v>
      </c>
      <c r="C29" s="221">
        <v>2E-3</v>
      </c>
      <c r="D29" s="2" t="s">
        <v>6</v>
      </c>
      <c r="E29" s="34">
        <f>$C29*20/2</f>
        <v>0.02</v>
      </c>
      <c r="F29" s="34">
        <f t="shared" ref="F29" si="5">$C29*20/2</f>
        <v>0.02</v>
      </c>
      <c r="I29" t="s">
        <v>159</v>
      </c>
    </row>
    <row r="30" spans="1:9" ht="15.75" thickBot="1" x14ac:dyDescent="0.3">
      <c r="B30" s="32" t="s">
        <v>154</v>
      </c>
      <c r="D30" t="s">
        <v>124</v>
      </c>
      <c r="E30" s="38">
        <v>917</v>
      </c>
      <c r="F30" s="38">
        <v>917</v>
      </c>
      <c r="G30" t="s">
        <v>47</v>
      </c>
      <c r="I30" t="s">
        <v>153</v>
      </c>
    </row>
    <row r="31" spans="1:9" x14ac:dyDescent="0.25">
      <c r="B31" s="12" t="s">
        <v>155</v>
      </c>
      <c r="C31" s="13"/>
      <c r="D31" s="12"/>
      <c r="E31" s="13">
        <f>E13*E30*(1-E29)</f>
        <v>53919.6</v>
      </c>
      <c r="F31" s="13">
        <f>F13*F30*(1-F29)</f>
        <v>85822.03</v>
      </c>
      <c r="G31" s="12" t="s">
        <v>5</v>
      </c>
      <c r="I31" s="7" t="s">
        <v>157</v>
      </c>
    </row>
    <row r="32" spans="1:9" ht="15.75" thickBot="1" x14ac:dyDescent="0.3">
      <c r="C32" s="1"/>
      <c r="E32" s="8"/>
      <c r="F32" s="8"/>
      <c r="I32" s="7"/>
    </row>
    <row r="33" spans="2:9" ht="15.75" thickBot="1" x14ac:dyDescent="0.3">
      <c r="B33" s="32" t="s">
        <v>151</v>
      </c>
      <c r="C33" s="102">
        <v>1700</v>
      </c>
      <c r="D33" t="s">
        <v>190</v>
      </c>
      <c r="E33" s="8">
        <f>$C33*$C7</f>
        <v>100300</v>
      </c>
      <c r="F33" s="8">
        <f t="shared" ref="F33" si="6">$C33*$C7</f>
        <v>100300</v>
      </c>
      <c r="G33" t="s">
        <v>5</v>
      </c>
    </row>
    <row r="34" spans="2:9" ht="15.75" thickBot="1" x14ac:dyDescent="0.3">
      <c r="B34" s="32" t="s">
        <v>152</v>
      </c>
      <c r="C34" s="8"/>
      <c r="E34" s="102">
        <v>0</v>
      </c>
      <c r="F34" s="102">
        <v>0</v>
      </c>
      <c r="G34" t="s">
        <v>5</v>
      </c>
    </row>
    <row r="35" spans="2:9" x14ac:dyDescent="0.25">
      <c r="B35" s="32" t="s">
        <v>81</v>
      </c>
      <c r="C35" s="65">
        <v>54000</v>
      </c>
      <c r="D35" t="s">
        <v>5</v>
      </c>
      <c r="E35" s="8">
        <f>$C35</f>
        <v>54000</v>
      </c>
      <c r="F35" s="8">
        <f t="shared" ref="F35" si="7">$C35</f>
        <v>54000</v>
      </c>
      <c r="G35" t="s">
        <v>5</v>
      </c>
    </row>
    <row r="36" spans="2:9" x14ac:dyDescent="0.25">
      <c r="B36" s="92" t="s">
        <v>103</v>
      </c>
      <c r="C36" s="222"/>
      <c r="D36" s="222"/>
      <c r="E36" s="93">
        <f>E33+E34+E35</f>
        <v>154300</v>
      </c>
      <c r="F36" s="93">
        <f t="shared" ref="F36" si="8">F33+F34+F35</f>
        <v>154300</v>
      </c>
      <c r="G36" s="222" t="s">
        <v>5</v>
      </c>
      <c r="I36" s="28"/>
    </row>
    <row r="37" spans="2:9" x14ac:dyDescent="0.25">
      <c r="B37" s="32"/>
      <c r="E37" s="8"/>
      <c r="F37" s="8"/>
      <c r="I37" s="28"/>
    </row>
    <row r="38" spans="2:9" s="15" customFormat="1" x14ac:dyDescent="0.25">
      <c r="B38" s="103" t="s">
        <v>224</v>
      </c>
      <c r="C38" s="16"/>
      <c r="E38" s="8">
        <f>E36</f>
        <v>154300</v>
      </c>
      <c r="F38" s="8">
        <f>F36</f>
        <v>154300</v>
      </c>
      <c r="G38" s="60" t="s">
        <v>5</v>
      </c>
      <c r="I38" s="82"/>
    </row>
    <row r="39" spans="2:9" s="15" customFormat="1" x14ac:dyDescent="0.25">
      <c r="B39" s="51" t="s">
        <v>178</v>
      </c>
      <c r="C39" s="16"/>
      <c r="E39" s="98">
        <f t="shared" ref="E39:F39" si="9">IF(E9="Volleinspeisung",0,E31/E38)</f>
        <v>0.34944653272845105</v>
      </c>
      <c r="F39" s="98">
        <f t="shared" si="9"/>
        <v>0.55620239792611792</v>
      </c>
      <c r="I39" s="82" t="s">
        <v>179</v>
      </c>
    </row>
    <row r="40" spans="2:9" x14ac:dyDescent="0.25">
      <c r="B40" s="32" t="s">
        <v>214</v>
      </c>
      <c r="C40" s="223"/>
      <c r="E40" s="224">
        <v>0.8</v>
      </c>
      <c r="F40" s="224">
        <v>0.52700000000000002</v>
      </c>
      <c r="I40" t="s">
        <v>216</v>
      </c>
    </row>
    <row r="41" spans="2:9" x14ac:dyDescent="0.25">
      <c r="B41" s="12" t="s">
        <v>215</v>
      </c>
      <c r="C41" s="12"/>
      <c r="D41" s="12"/>
      <c r="E41" s="225">
        <f>IF(E9="Volleinspeisung",0,E31*E40)</f>
        <v>43135.68</v>
      </c>
      <c r="F41" s="225">
        <f t="shared" ref="F41" si="10">IF(F9="Volleinspeisung",0,F31*F40)</f>
        <v>45228.20981</v>
      </c>
      <c r="G41" s="12" t="s">
        <v>5</v>
      </c>
      <c r="I41" t="s">
        <v>225</v>
      </c>
    </row>
    <row r="42" spans="2:9" x14ac:dyDescent="0.25">
      <c r="E42" s="226"/>
      <c r="F42" s="226"/>
    </row>
    <row r="43" spans="2:9" x14ac:dyDescent="0.25">
      <c r="B43" s="124" t="s">
        <v>220</v>
      </c>
      <c r="C43" s="125"/>
      <c r="D43" s="126"/>
      <c r="E43" s="274">
        <f>IF(E9="Volleinspeisung",0,E40)</f>
        <v>0.8</v>
      </c>
      <c r="F43" s="274">
        <f t="shared" ref="F43" si="11">IF(F9="Volleinspeisung",0,F40)</f>
        <v>0.52700000000000002</v>
      </c>
      <c r="G43" s="119"/>
      <c r="I43" t="s">
        <v>231</v>
      </c>
    </row>
    <row r="44" spans="2:9" s="66" customFormat="1" x14ac:dyDescent="0.25">
      <c r="B44" s="127" t="s">
        <v>80</v>
      </c>
      <c r="C44" s="128"/>
      <c r="D44" s="122"/>
      <c r="E44" s="122">
        <f>E41/E36</f>
        <v>0.27955722618276085</v>
      </c>
      <c r="F44" s="122">
        <f t="shared" ref="F44" si="12">F41/F36</f>
        <v>0.29311866370706419</v>
      </c>
      <c r="G44" s="120"/>
      <c r="I44" s="66" t="s">
        <v>217</v>
      </c>
    </row>
    <row r="45" spans="2:9" x14ac:dyDescent="0.25">
      <c r="B45" s="124" t="s">
        <v>178</v>
      </c>
      <c r="C45" s="125"/>
      <c r="D45" s="126"/>
      <c r="E45" s="122">
        <f>E31/E36</f>
        <v>0.34944653272845105</v>
      </c>
      <c r="F45" s="122">
        <f t="shared" ref="F45" si="13">F31/F36</f>
        <v>0.55620239792611792</v>
      </c>
      <c r="G45" s="119"/>
      <c r="I45" t="s">
        <v>104</v>
      </c>
    </row>
    <row r="46" spans="2:9" x14ac:dyDescent="0.25">
      <c r="B46" s="124" t="s">
        <v>49</v>
      </c>
      <c r="C46" s="125"/>
      <c r="D46" s="126"/>
      <c r="E46" s="123">
        <f>E36-E41</f>
        <v>111164.32</v>
      </c>
      <c r="F46" s="123">
        <f t="shared" ref="F46" si="14">F36-F41</f>
        <v>109071.79019</v>
      </c>
      <c r="G46" s="119" t="s">
        <v>5</v>
      </c>
      <c r="I46" t="s">
        <v>218</v>
      </c>
    </row>
    <row r="47" spans="2:9" x14ac:dyDescent="0.25">
      <c r="B47" s="124" t="s">
        <v>4</v>
      </c>
      <c r="C47" s="125"/>
      <c r="D47" s="126"/>
      <c r="E47" s="227">
        <f>E31-E41</f>
        <v>10783.919999999998</v>
      </c>
      <c r="F47" s="227">
        <f t="shared" ref="F47" si="15">F31-F41</f>
        <v>40593.820189999999</v>
      </c>
      <c r="G47" s="119" t="s">
        <v>5</v>
      </c>
      <c r="I47" t="s">
        <v>219</v>
      </c>
    </row>
    <row r="49" spans="1:9" s="4" customFormat="1" ht="18.75" x14ac:dyDescent="0.3">
      <c r="A49" s="74" t="s">
        <v>93</v>
      </c>
      <c r="B49" s="74"/>
      <c r="C49" s="206"/>
      <c r="D49" s="206"/>
      <c r="E49" s="206"/>
      <c r="F49" s="206"/>
      <c r="G49" s="206"/>
      <c r="H49"/>
      <c r="I49"/>
    </row>
    <row r="50" spans="1:9" ht="15.75" thickBot="1" x14ac:dyDescent="0.3">
      <c r="B50" s="32" t="s">
        <v>215</v>
      </c>
      <c r="E50" s="226">
        <f>E41</f>
        <v>43135.68</v>
      </c>
      <c r="F50" s="226">
        <f t="shared" ref="F50" si="16">F41</f>
        <v>45228.20981</v>
      </c>
      <c r="G50" t="s">
        <v>5</v>
      </c>
      <c r="I50" t="s">
        <v>29</v>
      </c>
    </row>
    <row r="51" spans="1:9" ht="15.75" thickBot="1" x14ac:dyDescent="0.3">
      <c r="B51" s="32" t="s">
        <v>14</v>
      </c>
      <c r="C51" s="44"/>
      <c r="D51" s="43"/>
      <c r="E51" s="208">
        <v>0.3</v>
      </c>
      <c r="F51" s="208">
        <v>0.3</v>
      </c>
      <c r="G51" s="209" t="s">
        <v>79</v>
      </c>
      <c r="H51" s="2"/>
      <c r="I51" s="28" t="s">
        <v>141</v>
      </c>
    </row>
    <row r="52" spans="1:9" x14ac:dyDescent="0.25">
      <c r="B52" s="94" t="s">
        <v>221</v>
      </c>
      <c r="C52" s="94"/>
      <c r="D52" s="97"/>
      <c r="E52" s="95">
        <f>E50*E51</f>
        <v>12940.704</v>
      </c>
      <c r="F52" s="95">
        <f t="shared" ref="F52" si="17">F50*F51</f>
        <v>13568.462943</v>
      </c>
      <c r="G52" s="228" t="s">
        <v>6</v>
      </c>
      <c r="H52" s="2"/>
      <c r="I52" t="s">
        <v>222</v>
      </c>
    </row>
    <row r="54" spans="1:9" x14ac:dyDescent="0.25">
      <c r="B54" s="32" t="s">
        <v>4</v>
      </c>
      <c r="E54" s="226">
        <f>E47</f>
        <v>10783.919999999998</v>
      </c>
      <c r="F54" s="226">
        <f t="shared" ref="F54" si="18">F47</f>
        <v>40593.820189999999</v>
      </c>
      <c r="G54" s="2" t="s">
        <v>5</v>
      </c>
      <c r="H54" s="2"/>
    </row>
    <row r="55" spans="1:9" ht="15.75" thickBot="1" x14ac:dyDescent="0.3">
      <c r="B55" s="32" t="s">
        <v>21</v>
      </c>
      <c r="E55" s="229">
        <f>VLOOKUP(E13,Einspeisevergütung!$A$19:$G$119,IF(E9="Volleinspeisung",7,6),TRUE)</f>
        <v>6.5759999999999985E-2</v>
      </c>
      <c r="F55" s="229">
        <f>VLOOKUP(F13,Einspeisevergütung!$A$19:$G$119,IF(F9="Volleinspeisung",7,6),TRUE)</f>
        <v>6.2046315789473679E-2</v>
      </c>
      <c r="G55" s="2" t="s">
        <v>79</v>
      </c>
      <c r="H55" s="2"/>
      <c r="I55" t="s">
        <v>137</v>
      </c>
    </row>
    <row r="56" spans="1:9" ht="15.75" thickBot="1" x14ac:dyDescent="0.3">
      <c r="B56" s="32" t="s">
        <v>180</v>
      </c>
      <c r="E56" s="205">
        <v>0.01</v>
      </c>
      <c r="F56" s="205">
        <v>0.01</v>
      </c>
      <c r="G56" s="2"/>
      <c r="H56" s="2"/>
      <c r="I56" t="s">
        <v>181</v>
      </c>
    </row>
    <row r="57" spans="1:9" x14ac:dyDescent="0.25">
      <c r="B57" s="94" t="s">
        <v>115</v>
      </c>
      <c r="C57" s="94"/>
      <c r="D57" s="94"/>
      <c r="E57" s="95">
        <f>E54*E55*(1-E56)</f>
        <v>702.05907340799968</v>
      </c>
      <c r="F57" s="95">
        <f>F54*F55*(1-F56)</f>
        <v>2493.510016743754</v>
      </c>
      <c r="G57" s="228" t="s">
        <v>6</v>
      </c>
      <c r="H57" s="2"/>
      <c r="I57" t="s">
        <v>182</v>
      </c>
    </row>
    <row r="58" spans="1:9" ht="15.75" thickBot="1" x14ac:dyDescent="0.3">
      <c r="E58" s="9"/>
      <c r="F58" s="9"/>
      <c r="G58" s="2"/>
      <c r="H58" s="2"/>
    </row>
    <row r="59" spans="1:9" ht="15.75" thickBot="1" x14ac:dyDescent="0.3">
      <c r="B59" s="32" t="s">
        <v>198</v>
      </c>
      <c r="C59" s="230">
        <v>120</v>
      </c>
      <c r="D59" s="2" t="s">
        <v>133</v>
      </c>
      <c r="E59" s="280" t="str">
        <f>IF(E9="Mieterstrom",$C59*E7,"entfällt")</f>
        <v>entfällt</v>
      </c>
      <c r="F59" s="280" t="str">
        <f>IF(F9="Mieterstrom",$C59*F7,"entfällt")</f>
        <v>entfällt</v>
      </c>
      <c r="G59" s="2" t="s">
        <v>199</v>
      </c>
      <c r="I59" t="s">
        <v>242</v>
      </c>
    </row>
    <row r="60" spans="1:9" x14ac:dyDescent="0.25">
      <c r="B60" s="32" t="s">
        <v>223</v>
      </c>
      <c r="C60" s="231">
        <v>2.5000000000000001E-2</v>
      </c>
      <c r="D60" s="2" t="s">
        <v>2</v>
      </c>
      <c r="E60" s="280" t="str">
        <f>IF(E9="Mieterstrom",$C60*E41,"entfällt")</f>
        <v>entfällt</v>
      </c>
      <c r="F60" s="280" t="str">
        <f>IF(F9="Mieterstrom",$C60*F41,"entfällt")</f>
        <v>entfällt</v>
      </c>
      <c r="G60" s="2" t="s">
        <v>199</v>
      </c>
      <c r="I60" t="s">
        <v>242</v>
      </c>
    </row>
    <row r="61" spans="1:9" x14ac:dyDescent="0.25">
      <c r="B61" s="94" t="s">
        <v>195</v>
      </c>
      <c r="C61" s="94"/>
      <c r="D61" s="94"/>
      <c r="E61" s="281">
        <v>0</v>
      </c>
      <c r="F61" s="281">
        <v>0</v>
      </c>
      <c r="G61" s="228" t="s">
        <v>6</v>
      </c>
      <c r="I61" t="s">
        <v>197</v>
      </c>
    </row>
    <row r="62" spans="1:9" ht="15.75" thickBot="1" x14ac:dyDescent="0.3">
      <c r="E62" s="9"/>
      <c r="F62" s="9"/>
      <c r="G62" s="2"/>
      <c r="H62" s="2"/>
    </row>
    <row r="63" spans="1:9" ht="15.75" thickBot="1" x14ac:dyDescent="0.3">
      <c r="B63" s="32" t="s">
        <v>183</v>
      </c>
      <c r="C63" s="230">
        <v>120</v>
      </c>
      <c r="E63" s="9">
        <f>$C63</f>
        <v>120</v>
      </c>
      <c r="F63" s="9">
        <f t="shared" ref="F63" si="19">$C63</f>
        <v>120</v>
      </c>
      <c r="G63" s="2" t="s">
        <v>6</v>
      </c>
      <c r="H63" s="2"/>
    </row>
    <row r="64" spans="1:9" ht="15.75" thickBot="1" x14ac:dyDescent="0.3">
      <c r="B64" t="s">
        <v>168</v>
      </c>
      <c r="C64" s="232">
        <v>5.0000000000000001E-3</v>
      </c>
      <c r="D64" s="2" t="s">
        <v>116</v>
      </c>
      <c r="E64" s="219">
        <f>E24*$C64</f>
        <v>375</v>
      </c>
      <c r="F64" s="219">
        <f>F24*$C64</f>
        <v>570.25</v>
      </c>
      <c r="G64" s="2" t="s">
        <v>6</v>
      </c>
      <c r="H64" s="2"/>
    </row>
    <row r="65" spans="2:9" ht="15.75" thickBot="1" x14ac:dyDescent="0.3">
      <c r="B65" t="s">
        <v>188</v>
      </c>
      <c r="C65" s="230">
        <v>20</v>
      </c>
      <c r="D65" s="2" t="s">
        <v>136</v>
      </c>
      <c r="E65" s="9">
        <f>IF(E$20=0,0,$C65*E7)</f>
        <v>1180</v>
      </c>
      <c r="F65" s="9">
        <f t="shared" ref="F65" si="20">IF(F$20=0,0,$C65*F7)</f>
        <v>1180</v>
      </c>
      <c r="G65" s="2" t="s">
        <v>6</v>
      </c>
      <c r="H65" s="2"/>
      <c r="I65" t="s">
        <v>135</v>
      </c>
    </row>
    <row r="66" spans="2:9" ht="15.75" thickBot="1" x14ac:dyDescent="0.3">
      <c r="B66" t="s">
        <v>184</v>
      </c>
      <c r="C66" s="233">
        <v>67</v>
      </c>
      <c r="D66" s="2" t="s">
        <v>189</v>
      </c>
      <c r="E66" s="9">
        <f>IF(E$20=0,0,$C66)</f>
        <v>67</v>
      </c>
      <c r="F66" s="9">
        <f t="shared" ref="F66" si="21">IF(F$20=0,0,$C66)</f>
        <v>67</v>
      </c>
      <c r="G66" s="2" t="s">
        <v>6</v>
      </c>
      <c r="H66" s="2"/>
      <c r="I66" s="28" t="s">
        <v>134</v>
      </c>
    </row>
    <row r="67" spans="2:9" ht="15.75" thickBot="1" x14ac:dyDescent="0.3">
      <c r="B67" t="s">
        <v>227</v>
      </c>
      <c r="C67" s="233">
        <v>250</v>
      </c>
      <c r="D67" s="2" t="s">
        <v>6</v>
      </c>
      <c r="E67" s="9">
        <f>IF(E9="Einzählermodell",$C67,0)</f>
        <v>250</v>
      </c>
      <c r="F67" s="9">
        <f t="shared" ref="F67" si="22">IF(F9="Einzählermodell",$C67,0)</f>
        <v>250</v>
      </c>
      <c r="G67" s="2" t="s">
        <v>6</v>
      </c>
      <c r="H67" s="2"/>
    </row>
    <row r="68" spans="2:9" x14ac:dyDescent="0.25">
      <c r="B68" t="s">
        <v>194</v>
      </c>
      <c r="C68" s="2"/>
      <c r="D68" s="2"/>
      <c r="E68" s="230">
        <v>0</v>
      </c>
      <c r="F68" s="230">
        <v>0</v>
      </c>
      <c r="G68" s="2" t="s">
        <v>6</v>
      </c>
      <c r="H68" s="2"/>
      <c r="I68" t="s">
        <v>228</v>
      </c>
    </row>
    <row r="69" spans="2:9" x14ac:dyDescent="0.25">
      <c r="B69" s="94" t="s">
        <v>139</v>
      </c>
      <c r="C69" s="94"/>
      <c r="D69" s="94"/>
      <c r="E69" s="234">
        <f>SUM(E63:E68)</f>
        <v>1992</v>
      </c>
      <c r="F69" s="234">
        <f t="shared" ref="F69" si="23">SUM(F63:F68)</f>
        <v>2187.25</v>
      </c>
      <c r="G69" s="228" t="s">
        <v>6</v>
      </c>
      <c r="H69" s="2"/>
    </row>
    <row r="70" spans="2:9" ht="15.75" thickBot="1" x14ac:dyDescent="0.3">
      <c r="B70" s="277"/>
      <c r="C70" s="277"/>
      <c r="D70" s="277"/>
      <c r="E70" s="277"/>
      <c r="F70" s="277"/>
      <c r="G70" s="277"/>
    </row>
    <row r="71" spans="2:9" s="5" customFormat="1" ht="16.5" thickTop="1" x14ac:dyDescent="0.25">
      <c r="B71" s="79" t="s">
        <v>233</v>
      </c>
      <c r="C71" s="79"/>
      <c r="D71" s="79"/>
      <c r="E71" s="80">
        <f>E52+E57+E61-E69</f>
        <v>11650.763073407999</v>
      </c>
      <c r="F71" s="80">
        <f t="shared" ref="F71" si="24">F52+F57+F61-F69</f>
        <v>13874.722959743754</v>
      </c>
      <c r="G71" s="81" t="s">
        <v>6</v>
      </c>
      <c r="H71" s="2"/>
      <c r="I71" t="s">
        <v>196</v>
      </c>
    </row>
    <row r="72" spans="2:9" s="4" customFormat="1" ht="18.75" x14ac:dyDescent="0.3">
      <c r="B72" s="141" t="s">
        <v>160</v>
      </c>
      <c r="C72" s="142"/>
      <c r="D72" s="143"/>
      <c r="E72" s="278">
        <f>E71*20/E7</f>
        <v>3949.4112113247456</v>
      </c>
      <c r="F72" s="278">
        <f>F71*20/F7</f>
        <v>4703.2959185572045</v>
      </c>
      <c r="G72" s="145"/>
      <c r="H72" s="146"/>
    </row>
    <row r="73" spans="2:9" x14ac:dyDescent="0.25">
      <c r="B73" s="147" t="s">
        <v>3</v>
      </c>
      <c r="C73" s="130"/>
      <c r="D73" s="131"/>
      <c r="E73" s="148">
        <f>E24/E71</f>
        <v>6.4373465950210527</v>
      </c>
      <c r="F73" s="148">
        <f>F24/F71</f>
        <v>8.2199839471321834</v>
      </c>
      <c r="G73" s="104" t="s">
        <v>1</v>
      </c>
      <c r="H73" s="2"/>
      <c r="I73" t="s">
        <v>140</v>
      </c>
    </row>
    <row r="74" spans="2:9" x14ac:dyDescent="0.25">
      <c r="B74" s="150" t="s">
        <v>173</v>
      </c>
      <c r="C74" s="79"/>
      <c r="D74" s="79"/>
      <c r="E74" s="149">
        <f>YIELD(DATE(2001,1,1),DATE(2020,12,31),1/E73,100,0.01,1)</f>
        <v>0.14497638372868776</v>
      </c>
      <c r="F74" s="149">
        <f t="shared" ref="F74" si="25">YIELD(DATE(2001,1,1),DATE(2020,12,31),1/F73,100,0.01,1)</f>
        <v>0.10519192489246716</v>
      </c>
      <c r="G74" s="104" t="s">
        <v>75</v>
      </c>
      <c r="H74" s="72"/>
      <c r="I74" t="s">
        <v>96</v>
      </c>
    </row>
    <row r="75" spans="2:9" x14ac:dyDescent="0.25">
      <c r="B75" s="198"/>
      <c r="C75" s="72"/>
      <c r="D75" s="72"/>
      <c r="E75" s="197"/>
      <c r="F75" s="197"/>
      <c r="G75" s="72"/>
      <c r="H75" s="72"/>
    </row>
    <row r="76" spans="2:9" ht="15.75" thickBot="1" x14ac:dyDescent="0.3">
      <c r="B76" s="79" t="s">
        <v>132</v>
      </c>
      <c r="C76" s="131"/>
      <c r="D76" s="131"/>
      <c r="E76" s="131"/>
      <c r="F76" s="131"/>
      <c r="G76" s="131"/>
      <c r="H76" s="2"/>
    </row>
    <row r="77" spans="2:9" ht="15.75" thickBot="1" x14ac:dyDescent="0.3">
      <c r="B77" s="203" t="s">
        <v>209</v>
      </c>
      <c r="C77" s="235">
        <v>180</v>
      </c>
      <c r="D77" s="236" t="s">
        <v>133</v>
      </c>
      <c r="E77" s="199">
        <f>IF(E9="Einzählermodell",$C77*E7,0)</f>
        <v>10620</v>
      </c>
      <c r="F77" s="199">
        <f>IF(F9="Einzählermodell",$C77*F7,0)</f>
        <v>10620</v>
      </c>
      <c r="G77" s="236" t="s">
        <v>6</v>
      </c>
      <c r="H77" s="2"/>
      <c r="I77" t="s">
        <v>208</v>
      </c>
    </row>
    <row r="78" spans="2:9" ht="15.75" thickBot="1" x14ac:dyDescent="0.3">
      <c r="B78" s="200"/>
      <c r="C78" s="201"/>
      <c r="D78" s="201"/>
      <c r="E78" s="202"/>
      <c r="F78" s="202"/>
      <c r="G78" s="201"/>
      <c r="H78" s="72"/>
    </row>
    <row r="79" spans="2:9" ht="15.75" thickTop="1" x14ac:dyDescent="0.25">
      <c r="B79" s="79" t="s">
        <v>234</v>
      </c>
      <c r="C79" s="79" t="s">
        <v>172</v>
      </c>
      <c r="D79" s="79"/>
      <c r="E79" s="80">
        <f>E71+E77</f>
        <v>22270.763073408001</v>
      </c>
      <c r="F79" s="80">
        <f t="shared" ref="F79" si="26">F71+F77</f>
        <v>24494.722959743754</v>
      </c>
      <c r="G79" s="81" t="s">
        <v>6</v>
      </c>
      <c r="H79" s="2"/>
      <c r="I79" t="s">
        <v>226</v>
      </c>
    </row>
    <row r="80" spans="2:9" s="4" customFormat="1" ht="18.75" x14ac:dyDescent="0.3">
      <c r="B80" s="141" t="s">
        <v>160</v>
      </c>
      <c r="C80" s="142"/>
      <c r="D80" s="143"/>
      <c r="E80" s="278">
        <f>E79*20/E7</f>
        <v>7549.4112113247465</v>
      </c>
      <c r="F80" s="278">
        <f>F79*20/F7</f>
        <v>8303.2959185572054</v>
      </c>
      <c r="G80" s="144"/>
      <c r="H80" s="279"/>
      <c r="I80" s="4" t="s">
        <v>143</v>
      </c>
    </row>
    <row r="81" spans="1:9" x14ac:dyDescent="0.25">
      <c r="B81" s="147" t="s">
        <v>3</v>
      </c>
      <c r="C81" s="130"/>
      <c r="D81" s="131"/>
      <c r="E81" s="148">
        <f>E24/E79</f>
        <v>3.3676439263795315</v>
      </c>
      <c r="F81" s="148">
        <f>F24/F79</f>
        <v>4.6561049164523025</v>
      </c>
      <c r="G81" s="104" t="s">
        <v>1</v>
      </c>
      <c r="H81" s="72"/>
      <c r="I81" t="s">
        <v>140</v>
      </c>
    </row>
    <row r="82" spans="1:9" x14ac:dyDescent="0.25">
      <c r="B82" s="147" t="s">
        <v>174</v>
      </c>
      <c r="C82" s="130"/>
      <c r="D82" s="131"/>
      <c r="E82" s="149">
        <f>YIELD(DATE(2001,1,1),DATE(2020,12,31),1/E81,100,0.01,1)</f>
        <v>0.29523077024278194</v>
      </c>
      <c r="F82" s="149">
        <f t="shared" ref="F82" si="27">YIELD(DATE(2001,1,1),DATE(2020,12,31),1/F81,100,0.01,1)</f>
        <v>0.21001393664602591</v>
      </c>
      <c r="G82" s="104" t="s">
        <v>75</v>
      </c>
      <c r="H82" s="72"/>
      <c r="I82" t="s">
        <v>96</v>
      </c>
    </row>
    <row r="83" spans="1:9" x14ac:dyDescent="0.25">
      <c r="B83" s="198"/>
      <c r="C83" s="72"/>
      <c r="D83" s="72"/>
      <c r="E83" s="197"/>
      <c r="F83" s="197"/>
      <c r="G83" s="72"/>
      <c r="H83" s="72"/>
    </row>
    <row r="84" spans="1:9" s="5" customFormat="1" ht="15.75" x14ac:dyDescent="0.25">
      <c r="B84" s="115" t="s">
        <v>148</v>
      </c>
      <c r="C84" s="237" t="s">
        <v>149</v>
      </c>
      <c r="D84" s="238"/>
      <c r="E84" s="239"/>
      <c r="F84" s="239"/>
      <c r="G84" s="240"/>
      <c r="H84" s="72"/>
      <c r="I84"/>
    </row>
    <row r="85" spans="1:9" s="5" customFormat="1" ht="15.75" x14ac:dyDescent="0.25">
      <c r="B85" s="118"/>
      <c r="C85" s="237" t="s">
        <v>150</v>
      </c>
      <c r="D85" s="237"/>
      <c r="E85" s="239"/>
      <c r="F85" s="239"/>
      <c r="G85" s="240"/>
      <c r="H85" s="72"/>
      <c r="I85"/>
    </row>
    <row r="86" spans="1:9" s="5" customFormat="1" ht="15.75" x14ac:dyDescent="0.25">
      <c r="B86" s="14"/>
      <c r="C86" s="72"/>
      <c r="D86" s="72"/>
      <c r="E86" s="241"/>
      <c r="F86" s="241"/>
      <c r="G86" s="72"/>
      <c r="H86" s="72"/>
      <c r="I86"/>
    </row>
    <row r="87" spans="1:9" s="78" customFormat="1" ht="21" x14ac:dyDescent="0.35">
      <c r="A87" s="76" t="s">
        <v>144</v>
      </c>
      <c r="B87" s="77"/>
      <c r="C87" s="242"/>
      <c r="D87" s="242"/>
      <c r="E87" s="243"/>
      <c r="F87" s="243"/>
      <c r="G87" s="242"/>
      <c r="H87" s="242"/>
      <c r="I87" s="271"/>
    </row>
    <row r="88" spans="1:9" s="67" customFormat="1" ht="16.5" thickBot="1" x14ac:dyDescent="0.3">
      <c r="B88" s="106" t="s">
        <v>84</v>
      </c>
      <c r="C88" s="244"/>
      <c r="D88" s="245"/>
      <c r="E88" s="246">
        <f t="shared" ref="E88:F88" si="28">E24/E7</f>
        <v>1271.1864406779662</v>
      </c>
      <c r="F88" s="246">
        <f t="shared" si="28"/>
        <v>1933.050847457627</v>
      </c>
      <c r="G88" s="247" t="s">
        <v>94</v>
      </c>
      <c r="H88" s="272"/>
      <c r="I88" s="272"/>
    </row>
    <row r="89" spans="1:9" s="5" customFormat="1" ht="16.5" thickBot="1" x14ac:dyDescent="0.3">
      <c r="B89" s="114" t="s">
        <v>85</v>
      </c>
      <c r="C89" s="213">
        <v>20</v>
      </c>
      <c r="D89" s="248" t="s">
        <v>48</v>
      </c>
      <c r="E89" s="249">
        <f>E88/$C89/12</f>
        <v>5.296610169491526</v>
      </c>
      <c r="F89" s="249">
        <f t="shared" ref="F89" si="29">F88/$C89/12</f>
        <v>8.0543785310734464</v>
      </c>
      <c r="G89" s="250" t="s">
        <v>95</v>
      </c>
      <c r="H89"/>
      <c r="I89"/>
    </row>
    <row r="90" spans="1:9" s="5" customFormat="1" ht="16.5" thickBot="1" x14ac:dyDescent="0.3">
      <c r="B90" s="114" t="s">
        <v>145</v>
      </c>
      <c r="C90" s="251">
        <v>0.06</v>
      </c>
      <c r="D90" s="248" t="s">
        <v>83</v>
      </c>
      <c r="E90" s="252"/>
      <c r="F90" s="252"/>
      <c r="G90" s="253"/>
      <c r="H90"/>
      <c r="I90" t="s">
        <v>138</v>
      </c>
    </row>
    <row r="91" spans="1:9" s="5" customFormat="1" ht="15.75" x14ac:dyDescent="0.25">
      <c r="B91" s="140" t="s">
        <v>117</v>
      </c>
      <c r="C91" s="254"/>
      <c r="D91" s="252"/>
      <c r="E91" s="255">
        <f t="shared" ref="E91:F91" si="30">IF(E82&lt;$C90,"Nicht möglich",NPER($C90,E79,-E24,0,0))</f>
        <v>3.8737668110345864</v>
      </c>
      <c r="F91" s="255">
        <f t="shared" si="30"/>
        <v>5.6226265219353113</v>
      </c>
      <c r="G91" s="256" t="s">
        <v>1</v>
      </c>
      <c r="H91"/>
      <c r="I91"/>
    </row>
    <row r="92" spans="1:9" s="5" customFormat="1" ht="15.75" x14ac:dyDescent="0.25">
      <c r="B92" s="140" t="s">
        <v>118</v>
      </c>
      <c r="C92" s="257"/>
      <c r="D92" s="252"/>
      <c r="E92" s="258">
        <f t="shared" ref="E92:F92" si="31">IF(E74&lt;$C90,"Nicht möglich",NPER($C90,E71,-E24,0,0))</f>
        <v>8.3775828118571845</v>
      </c>
      <c r="F92" s="258">
        <f t="shared" si="31"/>
        <v>11.663800677259236</v>
      </c>
      <c r="G92" s="256" t="s">
        <v>1</v>
      </c>
      <c r="H92"/>
      <c r="I92"/>
    </row>
    <row r="93" spans="1:9" s="5" customFormat="1" ht="15.75" x14ac:dyDescent="0.25">
      <c r="B93" s="14"/>
      <c r="C93" s="72"/>
      <c r="D93" s="72"/>
      <c r="E93" s="241"/>
      <c r="F93" s="241"/>
      <c r="G93" s="72"/>
      <c r="H93" s="72"/>
      <c r="I93"/>
    </row>
    <row r="94" spans="1:9" s="75" customFormat="1" ht="18.75" x14ac:dyDescent="0.3">
      <c r="A94" s="75" t="s">
        <v>55</v>
      </c>
      <c r="C94" s="259"/>
      <c r="D94" s="259"/>
      <c r="E94" s="259"/>
      <c r="F94" s="259"/>
      <c r="G94" s="259"/>
      <c r="H94" s="259"/>
      <c r="I94" s="259"/>
    </row>
    <row r="95" spans="1:9" s="72" customFormat="1" x14ac:dyDescent="0.25">
      <c r="B95" s="155" t="s">
        <v>11</v>
      </c>
      <c r="C95" s="156"/>
      <c r="D95" s="157"/>
      <c r="E95" s="129">
        <f t="shared" ref="E95:F95" si="32">E31</f>
        <v>53919.6</v>
      </c>
      <c r="F95" s="129">
        <f t="shared" si="32"/>
        <v>85822.03</v>
      </c>
      <c r="G95" s="107" t="s">
        <v>5</v>
      </c>
      <c r="I95" t="s">
        <v>39</v>
      </c>
    </row>
    <row r="96" spans="1:9" x14ac:dyDescent="0.25">
      <c r="B96" s="159" t="s">
        <v>50</v>
      </c>
      <c r="C96" s="260">
        <v>106</v>
      </c>
      <c r="D96" s="261" t="s">
        <v>46</v>
      </c>
      <c r="E96" s="226">
        <f t="shared" ref="E96:F96" si="33">-E14*$C96/20</f>
        <v>0</v>
      </c>
      <c r="F96" s="226">
        <f t="shared" si="33"/>
        <v>0</v>
      </c>
      <c r="G96" t="s">
        <v>51</v>
      </c>
      <c r="I96" s="28" t="s">
        <v>45</v>
      </c>
    </row>
    <row r="97" spans="2:9" ht="15.75" x14ac:dyDescent="0.25">
      <c r="B97" s="158" t="s">
        <v>15</v>
      </c>
      <c r="C97" s="262">
        <v>0.68400000000000005</v>
      </c>
      <c r="D97" s="263" t="s">
        <v>42</v>
      </c>
      <c r="E97" s="129">
        <f>E95*$C97+E96</f>
        <v>36881.006399999998</v>
      </c>
      <c r="F97" s="129">
        <f t="shared" ref="F97" si="34">F95*$C97+F96</f>
        <v>58702.268520000005</v>
      </c>
      <c r="G97" s="110" t="s">
        <v>51</v>
      </c>
      <c r="I97" s="273" t="s">
        <v>16</v>
      </c>
    </row>
    <row r="98" spans="2:9" s="5" customFormat="1" ht="15.75" x14ac:dyDescent="0.25">
      <c r="B98" s="135" t="s">
        <v>17</v>
      </c>
      <c r="C98" s="264">
        <f>10000/6000</f>
        <v>1.6666666666666667</v>
      </c>
      <c r="D98" s="265" t="s">
        <v>41</v>
      </c>
      <c r="E98" s="266">
        <f>E97*$C98</f>
        <v>61468.343999999997</v>
      </c>
      <c r="F98" s="266">
        <f t="shared" ref="F98" si="35">F97*$C98</f>
        <v>97837.114200000011</v>
      </c>
      <c r="G98" s="110" t="s">
        <v>52</v>
      </c>
      <c r="H98" s="72"/>
      <c r="I98" s="273" t="s">
        <v>18</v>
      </c>
    </row>
    <row r="99" spans="2:9" s="5" customFormat="1" ht="15.75" x14ac:dyDescent="0.25">
      <c r="B99" s="135"/>
      <c r="C99" s="264">
        <v>7140</v>
      </c>
      <c r="D99" s="265" t="s">
        <v>77</v>
      </c>
      <c r="E99" s="267">
        <f>E98/$C99</f>
        <v>8.6090117647058815</v>
      </c>
      <c r="F99" s="267">
        <f t="shared" ref="F99" si="36">F98/$C99</f>
        <v>13.70267705882353</v>
      </c>
      <c r="G99" s="110" t="s">
        <v>78</v>
      </c>
      <c r="H99" s="72"/>
      <c r="I99" s="273"/>
    </row>
    <row r="100" spans="2:9" ht="16.5" thickBot="1" x14ac:dyDescent="0.3">
      <c r="B100" s="135" t="s">
        <v>57</v>
      </c>
      <c r="C100" s="268">
        <v>10500</v>
      </c>
      <c r="D100" s="265" t="s">
        <v>43</v>
      </c>
      <c r="E100" s="267">
        <f>E97/$C100</f>
        <v>3.5124768</v>
      </c>
      <c r="F100" s="267">
        <f t="shared" ref="F100" si="37">F97/$C100</f>
        <v>5.5906922400000001</v>
      </c>
      <c r="G100" s="113" t="s">
        <v>53</v>
      </c>
      <c r="I100" s="28" t="s">
        <v>40</v>
      </c>
    </row>
    <row r="101" spans="2:9" ht="16.5" thickBot="1" x14ac:dyDescent="0.3">
      <c r="B101" s="135" t="s">
        <v>56</v>
      </c>
      <c r="C101" s="102">
        <v>20</v>
      </c>
      <c r="D101" s="265" t="s">
        <v>44</v>
      </c>
      <c r="E101" s="266">
        <f>E95/$C101*100</f>
        <v>269598</v>
      </c>
      <c r="F101" s="266">
        <f t="shared" ref="F101" si="38">F95/$C101*100</f>
        <v>429110.14999999997</v>
      </c>
      <c r="G101" s="110" t="s">
        <v>54</v>
      </c>
    </row>
  </sheetData>
  <phoneticPr fontId="15" type="noConversion"/>
  <hyperlinks>
    <hyperlink ref="I96" r:id="rId1" display="https://www.ffe.de/veroeffentlichungen/umweltbilanz-von-elektrofahrzeugen-potenziale-der-kreislaufwirtschaft/" xr:uid="{009159C3-64DF-41C4-A5E5-7335E0B4237C}"/>
    <hyperlink ref="I100" r:id="rId2" display="https://www.umweltbundesamt.de/bild/durchschnittlicher-co2-fussabdruck-pro-kopf-in" xr:uid="{E6EAC674-09A8-425F-A194-82AA6C52DD9C}"/>
    <hyperlink ref="I98" r:id="rId3" location=":~:text=Faustformel%3A%20Ein%20Hektar%20Wald%20%E2%80%9Cspeichert,Tonne%20CO2%20%E2%80%9Cgespeichert%E2%80%9D." xr:uid="{F6816477-FA0C-439C-B512-72AA2BEE4788}"/>
    <hyperlink ref="I97" r:id="rId4" location="%C3%96kobilanz" xr:uid="{8EA55BFE-2A40-45D8-9B13-DCE9B4E5D929}"/>
    <hyperlink ref="I66" r:id="rId5" display="https://assets.ctfassets.net/xytfb1vrn7of/fEyKny9vSL0zsgtzvGjiv/6f6fe41313fa7b200ed51694c32dc96c/messpreise-fuer-einspeiser-nach-dem-kraft-waerme-kopplungsgesetz-2022.pdf" xr:uid="{86D4B539-AB59-427F-85C2-86432450173D}"/>
    <hyperlink ref="I51" r:id="rId6" xr:uid="{0E4470FA-CA70-45E8-AA6C-6F069C6B156B}"/>
    <hyperlink ref="I3" r:id="rId7" xr:uid="{EB09BEAB-C7B5-4957-B916-729C444F4302}"/>
  </hyperlinks>
  <pageMargins left="0.7" right="0.7" top="0.75" bottom="0.75" header="0.3" footer="0.3"/>
  <pageSetup paperSize="9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86E0-4470-43B3-9DF6-1246C750AB14}">
  <dimension ref="A2:C23"/>
  <sheetViews>
    <sheetView workbookViewId="0">
      <selection activeCell="A5" sqref="A5"/>
    </sheetView>
  </sheetViews>
  <sheetFormatPr defaultRowHeight="15" x14ac:dyDescent="0.25"/>
  <cols>
    <col min="1" max="1" width="34.7109375" customWidth="1"/>
  </cols>
  <sheetData>
    <row r="2" spans="1:3" x14ac:dyDescent="0.25">
      <c r="A2" t="s">
        <v>236</v>
      </c>
    </row>
    <row r="3" spans="1:3" x14ac:dyDescent="0.25">
      <c r="B3" t="s">
        <v>239</v>
      </c>
    </row>
    <row r="4" spans="1:3" x14ac:dyDescent="0.25">
      <c r="B4" t="s">
        <v>237</v>
      </c>
    </row>
    <row r="5" spans="1:3" x14ac:dyDescent="0.25">
      <c r="B5" t="s">
        <v>238</v>
      </c>
    </row>
    <row r="7" spans="1:3" x14ac:dyDescent="0.25">
      <c r="A7" t="s">
        <v>123</v>
      </c>
      <c r="B7" t="s">
        <v>125</v>
      </c>
    </row>
    <row r="8" spans="1:3" x14ac:dyDescent="0.25">
      <c r="B8" t="s">
        <v>156</v>
      </c>
    </row>
    <row r="9" spans="1:3" x14ac:dyDescent="0.25">
      <c r="C9" s="28" t="s">
        <v>126</v>
      </c>
    </row>
    <row r="10" spans="1:3" x14ac:dyDescent="0.25">
      <c r="C10" s="91" t="s">
        <v>127</v>
      </c>
    </row>
    <row r="11" spans="1:3" x14ac:dyDescent="0.25">
      <c r="C11" s="91" t="s">
        <v>128</v>
      </c>
    </row>
    <row r="12" spans="1:3" x14ac:dyDescent="0.25">
      <c r="C12" s="91" t="s">
        <v>129</v>
      </c>
    </row>
    <row r="13" spans="1:3" x14ac:dyDescent="0.25">
      <c r="C13" s="91" t="s">
        <v>176</v>
      </c>
    </row>
    <row r="14" spans="1:3" x14ac:dyDescent="0.25">
      <c r="C14" s="91" t="s">
        <v>130</v>
      </c>
    </row>
    <row r="15" spans="1:3" x14ac:dyDescent="0.25">
      <c r="C15" s="91" t="s">
        <v>131</v>
      </c>
    </row>
    <row r="17" spans="1:2" ht="15.75" x14ac:dyDescent="0.25">
      <c r="A17" s="17" t="s">
        <v>22</v>
      </c>
      <c r="B17" s="17" t="s">
        <v>146</v>
      </c>
    </row>
    <row r="19" spans="1:2" x14ac:dyDescent="0.25">
      <c r="A19" t="s">
        <v>23</v>
      </c>
      <c r="B19" t="s">
        <v>169</v>
      </c>
    </row>
    <row r="21" spans="1:2" x14ac:dyDescent="0.25">
      <c r="A21" t="s">
        <v>24</v>
      </c>
      <c r="B21" t="s">
        <v>170</v>
      </c>
    </row>
    <row r="23" spans="1:2" x14ac:dyDescent="0.25">
      <c r="A23" t="s">
        <v>25</v>
      </c>
      <c r="B23" t="s">
        <v>171</v>
      </c>
    </row>
  </sheetData>
  <hyperlinks>
    <hyperlink ref="C9" r:id="rId1" display="https://re.jrc.ec.europa.eu/pvg_tools/en/" xr:uid="{7791BCF6-5E96-40F3-A099-B89B6209B1A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69628-5621-49FA-8BDD-060AB55A5631}">
  <dimension ref="A1:G39"/>
  <sheetViews>
    <sheetView zoomScaleNormal="100" workbookViewId="0">
      <selection activeCell="E5" sqref="E5"/>
    </sheetView>
  </sheetViews>
  <sheetFormatPr defaultRowHeight="15" x14ac:dyDescent="0.25"/>
  <cols>
    <col min="1" max="1" width="5.28515625" customWidth="1"/>
    <col min="2" max="2" width="43.5703125" customWidth="1"/>
    <col min="3" max="3" width="15.42578125" customWidth="1"/>
    <col min="4" max="4" width="23.140625" customWidth="1"/>
    <col min="5" max="6" width="20.7109375" customWidth="1"/>
    <col min="7" max="7" width="19.7109375" customWidth="1"/>
  </cols>
  <sheetData>
    <row r="1" spans="1:7" ht="19.5" thickBot="1" x14ac:dyDescent="0.35">
      <c r="A1" s="4"/>
      <c r="B1" t="s">
        <v>165</v>
      </c>
      <c r="E1" s="88" t="str">
        <f>'Eingaben &amp; Berechnung'!E4</f>
        <v>Szenario 1</v>
      </c>
      <c r="F1" s="88" t="str">
        <f>'Eingaben &amp; Berechnung'!F4</f>
        <v>Szenario 2</v>
      </c>
    </row>
    <row r="2" spans="1:7" ht="15.75" x14ac:dyDescent="0.25">
      <c r="B2" t="s">
        <v>166</v>
      </c>
      <c r="E2" s="41" t="str">
        <f>'Eingaben &amp; Berechnung'!E5</f>
        <v>Klein</v>
      </c>
      <c r="F2" s="41" t="str">
        <f>'Eingaben &amp; Berechnung'!F5</f>
        <v>Groß (realisiert)</v>
      </c>
    </row>
    <row r="3" spans="1:7" ht="16.5" thickBot="1" x14ac:dyDescent="0.3">
      <c r="B3" t="s">
        <v>167</v>
      </c>
      <c r="C3" s="84"/>
      <c r="E3" s="42" t="str">
        <f>'Eingaben &amp; Berechnung'!E6</f>
        <v>Einzählermodell</v>
      </c>
      <c r="F3" s="42" t="str">
        <f>'Eingaben &amp; Berechnung'!F6</f>
        <v>Einzählermodell</v>
      </c>
    </row>
    <row r="4" spans="1:7" ht="18.75" x14ac:dyDescent="0.3">
      <c r="A4" s="4"/>
      <c r="E4" s="88" t="str">
        <f>'Eingaben &amp; Berechnung'!E9</f>
        <v>Einzählermodell</v>
      </c>
      <c r="F4" s="88" t="str">
        <f>'Eingaben &amp; Berechnung'!F9</f>
        <v>Einzählermodell</v>
      </c>
    </row>
    <row r="5" spans="1:7" ht="18.75" x14ac:dyDescent="0.3">
      <c r="A5" s="4"/>
    </row>
    <row r="6" spans="1:7" ht="18.75" x14ac:dyDescent="0.3">
      <c r="A6" s="152" t="str">
        <f>'Eingaben &amp; Berechnung'!A11</f>
        <v>PV-Anlage</v>
      </c>
      <c r="B6" s="97"/>
      <c r="C6" s="97"/>
      <c r="D6" s="178"/>
      <c r="E6" s="178"/>
      <c r="F6" s="178"/>
      <c r="G6" s="178"/>
    </row>
    <row r="7" spans="1:7" x14ac:dyDescent="0.25">
      <c r="B7" s="176" t="str">
        <f>'Eingaben &amp; Berechnung'!B13</f>
        <v>PV-Nennleistung</v>
      </c>
      <c r="C7" s="177"/>
      <c r="D7" s="178"/>
      <c r="E7" s="162">
        <f>'Eingaben &amp; Berechnung'!E13</f>
        <v>60</v>
      </c>
      <c r="F7" s="162">
        <f>'Eingaben &amp; Berechnung'!F13</f>
        <v>95.5</v>
      </c>
      <c r="G7" s="161" t="str">
        <f>'Eingaben &amp; Berechnung'!G13</f>
        <v>kWp</v>
      </c>
    </row>
    <row r="8" spans="1:7" x14ac:dyDescent="0.25">
      <c r="B8" s="176" t="str">
        <f>'Eingaben &amp; Berechnung'!B14</f>
        <v>Speicherkapazität</v>
      </c>
      <c r="C8" s="179"/>
      <c r="D8" s="178"/>
      <c r="E8" s="163">
        <f>'Eingaben &amp; Berechnung'!E14</f>
        <v>0</v>
      </c>
      <c r="F8" s="163">
        <f>'Eingaben &amp; Berechnung'!F14</f>
        <v>0</v>
      </c>
      <c r="G8" s="161" t="str">
        <f>'Eingaben &amp; Berechnung'!G14</f>
        <v>kWh</v>
      </c>
    </row>
    <row r="9" spans="1:7" x14ac:dyDescent="0.25">
      <c r="A9" s="2"/>
      <c r="B9" s="176" t="str">
        <f>'Eingaben &amp; Berechnung'!B24</f>
        <v>Anschaffungskosten</v>
      </c>
      <c r="C9" s="180"/>
      <c r="D9" s="178"/>
      <c r="E9" s="164">
        <f>'Eingaben &amp; Berechnung'!E24</f>
        <v>75000</v>
      </c>
      <c r="F9" s="164">
        <f>'Eingaben &amp; Berechnung'!F24</f>
        <v>114050</v>
      </c>
      <c r="G9" s="161"/>
    </row>
    <row r="10" spans="1:7" x14ac:dyDescent="0.25">
      <c r="E10" s="165"/>
      <c r="F10" s="165"/>
      <c r="G10" s="165"/>
    </row>
    <row r="11" spans="1:7" s="4" customFormat="1" ht="18.75" x14ac:dyDescent="0.3">
      <c r="A11" s="181" t="str">
        <f>'Eingaben &amp; Berechnung'!A28</f>
        <v>Strommengen</v>
      </c>
      <c r="B11" s="182"/>
      <c r="C11" s="182"/>
      <c r="D11" s="183"/>
      <c r="E11" s="183"/>
      <c r="F11" s="183"/>
      <c r="G11" s="183"/>
    </row>
    <row r="12" spans="1:7" x14ac:dyDescent="0.25">
      <c r="B12" s="124" t="str">
        <f>'Eingaben &amp; Berechnung'!B31</f>
        <v>Erzeugter PV Strom (Durchschnitt während der Nutzungsdauer)</v>
      </c>
      <c r="C12" s="184"/>
      <c r="D12" s="126"/>
      <c r="E12" s="166">
        <f>'Eingaben &amp; Berechnung'!E31</f>
        <v>53919.6</v>
      </c>
      <c r="F12" s="166">
        <f>'Eingaben &amp; Berechnung'!F31</f>
        <v>85822.03</v>
      </c>
      <c r="G12" s="119" t="str">
        <f>'Eingaben &amp; Berechnung'!G31</f>
        <v>kWh/Jahr</v>
      </c>
    </row>
    <row r="13" spans="1:7" x14ac:dyDescent="0.25">
      <c r="B13" s="185" t="str">
        <f>'Eingaben &amp; Berechnung'!B36</f>
        <v>Gesamtstromverbrauch</v>
      </c>
      <c r="C13" s="125"/>
      <c r="D13" s="126"/>
      <c r="E13" s="166">
        <f>'Eingaben &amp; Berechnung'!E36</f>
        <v>154300</v>
      </c>
      <c r="F13" s="166">
        <f>'Eingaben &amp; Berechnung'!F36</f>
        <v>154300</v>
      </c>
      <c r="G13" s="119" t="str">
        <f>'Eingaben &amp; Berechnung'!G36</f>
        <v>kWh/Jahr</v>
      </c>
    </row>
    <row r="14" spans="1:7" x14ac:dyDescent="0.25">
      <c r="B14" s="124" t="str">
        <f>'Eingaben &amp; Berechnung'!B41</f>
        <v>Direktverbrauch</v>
      </c>
      <c r="C14" s="125"/>
      <c r="D14" s="126"/>
      <c r="E14" s="121">
        <f>'Eingaben &amp; Berechnung'!E41</f>
        <v>43135.68</v>
      </c>
      <c r="F14" s="121">
        <f>'Eingaben &amp; Berechnung'!F41</f>
        <v>45228.20981</v>
      </c>
      <c r="G14" s="119" t="str">
        <f>'Eingaben &amp; Berechnung'!G41</f>
        <v>kWh/Jahr</v>
      </c>
    </row>
    <row r="15" spans="1:7" x14ac:dyDescent="0.25">
      <c r="B15" s="124" t="str">
        <f>'Eingaben &amp; Berechnung'!B43</f>
        <v>Direktverbrauchsquote (Anteil des selbst verbrauchten Stroms am PV-Strom)</v>
      </c>
      <c r="C15" s="125"/>
      <c r="D15" s="126"/>
      <c r="E15" s="120">
        <f>'Eingaben &amp; Berechnung'!E43</f>
        <v>0.8</v>
      </c>
      <c r="F15" s="120">
        <f>'Eingaben &amp; Berechnung'!F43</f>
        <v>0.52700000000000002</v>
      </c>
      <c r="G15" s="119"/>
    </row>
    <row r="16" spans="1:7" s="66" customFormat="1" x14ac:dyDescent="0.25">
      <c r="A16" s="160"/>
      <c r="B16" s="127" t="str">
        <f>'Eingaben &amp; Berechnung'!B44</f>
        <v>Autarkiegrad</v>
      </c>
      <c r="C16" s="128"/>
      <c r="D16" s="122"/>
      <c r="E16" s="120">
        <f>'Eingaben &amp; Berechnung'!E44</f>
        <v>0.27955722618276085</v>
      </c>
      <c r="F16" s="120">
        <f>'Eingaben &amp; Berechnung'!F44</f>
        <v>0.29311866370706419</v>
      </c>
      <c r="G16" s="120"/>
    </row>
    <row r="17" spans="1:7" x14ac:dyDescent="0.25">
      <c r="E17" s="165"/>
      <c r="F17" s="165"/>
      <c r="G17" s="165"/>
    </row>
    <row r="18" spans="1:7" s="4" customFormat="1" ht="18.75" x14ac:dyDescent="0.3">
      <c r="A18" s="74" t="str">
        <f>'Eingaben &amp; Berechnung'!A49</f>
        <v>Wirtschaftlichkeit</v>
      </c>
      <c r="B18" s="74"/>
      <c r="C18" s="74"/>
      <c r="D18" s="74"/>
      <c r="E18" s="74"/>
      <c r="F18" s="74"/>
      <c r="G18" s="74"/>
    </row>
    <row r="19" spans="1:7" s="4" customFormat="1" ht="18.75" x14ac:dyDescent="0.3">
      <c r="B19" s="187" t="str">
        <f>'Eingaben &amp; Berechnung'!B84</f>
        <v>Konservative Annahmen</v>
      </c>
      <c r="C19" s="188" t="str">
        <f>'Eingaben &amp; Berechnung'!C84</f>
        <v>Keine Steigerung des Strompreises</v>
      </c>
      <c r="D19" s="189"/>
      <c r="E19" s="153">
        <f>'Eingaben &amp; Berechnung'!E51</f>
        <v>0.3</v>
      </c>
      <c r="F19" s="153">
        <f>'Eingaben &amp; Berechnung'!F51</f>
        <v>0.3</v>
      </c>
      <c r="G19" s="154" t="s">
        <v>2</v>
      </c>
    </row>
    <row r="20" spans="1:7" s="4" customFormat="1" ht="18.75" x14ac:dyDescent="0.3">
      <c r="B20" s="190"/>
      <c r="C20" s="188" t="str">
        <f>'Eingaben &amp; Berechnung'!C85</f>
        <v>Nutzungsdauer endet nach 20 Jahren</v>
      </c>
      <c r="D20" s="191"/>
      <c r="E20" s="116"/>
      <c r="F20" s="116"/>
      <c r="G20" s="117"/>
    </row>
    <row r="21" spans="1:7" x14ac:dyDescent="0.25">
      <c r="C21" s="151"/>
      <c r="D21" s="2"/>
      <c r="E21" s="168"/>
      <c r="F21" s="168"/>
      <c r="G21" s="169"/>
    </row>
    <row r="22" spans="1:7" ht="18.75" x14ac:dyDescent="0.3">
      <c r="B22" s="195" t="str">
        <f>'Eingaben &amp; Berechnung'!B26</f>
        <v>Anteil der Anschaffungskosten für durchschnittlich große Wohnung</v>
      </c>
      <c r="C22" s="196"/>
      <c r="D22" s="143"/>
      <c r="E22" s="171">
        <f>'Eingaben &amp; Berechnung'!E26</f>
        <v>1271.1864406779662</v>
      </c>
      <c r="F22" s="171">
        <f>'Eingaben &amp; Berechnung'!F26</f>
        <v>1933.050847457627</v>
      </c>
      <c r="G22" s="167"/>
    </row>
    <row r="23" spans="1:7" x14ac:dyDescent="0.25">
      <c r="C23" s="151"/>
      <c r="D23" s="2"/>
      <c r="E23" s="168"/>
      <c r="F23" s="168"/>
      <c r="G23" s="169"/>
    </row>
    <row r="24" spans="1:7" x14ac:dyDescent="0.25">
      <c r="B24" s="186" t="str">
        <f>'Eingaben &amp; Berechnung'!B79</f>
        <v>Nutzen für Eigennutzer</v>
      </c>
      <c r="C24" s="130" t="str">
        <f>'Eingaben &amp; Berechnung'!C79</f>
        <v>inkl. gesparter Grundgebühr</v>
      </c>
      <c r="D24" s="131"/>
      <c r="E24" s="170">
        <f>'Eingaben &amp; Berechnung'!E79</f>
        <v>22270.763073408001</v>
      </c>
      <c r="F24" s="170">
        <f>'Eingaben &amp; Berechnung'!F79</f>
        <v>24494.722959743754</v>
      </c>
      <c r="G24" s="105" t="str">
        <f>'Eingaben &amp; Berechnung'!G79</f>
        <v>/Jahr</v>
      </c>
    </row>
    <row r="25" spans="1:7" s="4" customFormat="1" ht="18.75" x14ac:dyDescent="0.3">
      <c r="B25" s="141" t="str">
        <f>'Eingaben &amp; Berechnung'!B80</f>
        <v>Nutzen in 20 Jahren für durchschnittlich große Wohnung</v>
      </c>
      <c r="C25" s="142"/>
      <c r="D25" s="143"/>
      <c r="E25" s="171">
        <f>'Eingaben &amp; Berechnung'!E80</f>
        <v>7549.4112113247465</v>
      </c>
      <c r="F25" s="171">
        <f>'Eingaben &amp; Berechnung'!F80</f>
        <v>8303.2959185572054</v>
      </c>
      <c r="G25" s="144"/>
    </row>
    <row r="26" spans="1:7" x14ac:dyDescent="0.25">
      <c r="B26" s="147" t="str">
        <f>'Eingaben &amp; Berechnung'!B81</f>
        <v>Amortisationszeit</v>
      </c>
      <c r="C26" s="130"/>
      <c r="D26" s="131"/>
      <c r="E26" s="172">
        <f>'Eingaben &amp; Berechnung'!E81</f>
        <v>3.3676439263795315</v>
      </c>
      <c r="F26" s="172">
        <f>'Eingaben &amp; Berechnung'!F81</f>
        <v>4.6561049164523025</v>
      </c>
      <c r="G26" s="104" t="str">
        <f>'Eingaben &amp; Berechnung'!G81</f>
        <v>Jahre</v>
      </c>
    </row>
    <row r="27" spans="1:7" x14ac:dyDescent="0.25">
      <c r="B27" s="147" t="str">
        <f>'Eingaben &amp; Berechnung'!B82</f>
        <v>Rendite (steuerfrei) bei 20 Jahren Nutzungsdauer</v>
      </c>
      <c r="C27" s="130"/>
      <c r="D27" s="131"/>
      <c r="E27" s="173">
        <f>'Eingaben &amp; Berechnung'!E82</f>
        <v>0.29523077024278194</v>
      </c>
      <c r="F27" s="173">
        <f>'Eingaben &amp; Berechnung'!F82</f>
        <v>0.21001393664602591</v>
      </c>
      <c r="G27" s="104" t="str">
        <f>'Eingaben &amp; Berechnung'!G82</f>
        <v>p.a.</v>
      </c>
    </row>
    <row r="28" spans="1:7" s="5" customFormat="1" ht="15.75" x14ac:dyDescent="0.25">
      <c r="B28" s="14"/>
      <c r="C28" s="14"/>
      <c r="D28" s="14"/>
      <c r="E28" s="174"/>
      <c r="F28" s="174"/>
      <c r="G28" s="175"/>
    </row>
    <row r="29" spans="1:7" s="5" customFormat="1" ht="15.75" x14ac:dyDescent="0.25">
      <c r="B29" s="186" t="str">
        <f>'Eingaben &amp; Berechnung'!B71</f>
        <v>Nutzen für Vermieter</v>
      </c>
      <c r="C29" s="130">
        <f>'Eingaben &amp; Berechnung'!C71</f>
        <v>0</v>
      </c>
      <c r="D29" s="131"/>
      <c r="E29" s="170">
        <f>'Eingaben &amp; Berechnung'!E71</f>
        <v>11650.763073407999</v>
      </c>
      <c r="F29" s="170">
        <f>'Eingaben &amp; Berechnung'!F71</f>
        <v>13874.722959743754</v>
      </c>
      <c r="G29" s="105" t="str">
        <f>'Eingaben &amp; Berechnung'!G71</f>
        <v>/Jahr</v>
      </c>
    </row>
    <row r="30" spans="1:7" s="4" customFormat="1" ht="18.75" x14ac:dyDescent="0.3">
      <c r="B30" s="141" t="str">
        <f>'Eingaben &amp; Berechnung'!B72</f>
        <v>Nutzen in 20 Jahren für durchschnittlich große Wohnung</v>
      </c>
      <c r="C30" s="142"/>
      <c r="D30" s="143"/>
      <c r="E30" s="171">
        <f>'Eingaben &amp; Berechnung'!E72</f>
        <v>3949.4112113247456</v>
      </c>
      <c r="F30" s="171">
        <f>'Eingaben &amp; Berechnung'!F72</f>
        <v>4703.2959185572045</v>
      </c>
      <c r="G30" s="145"/>
    </row>
    <row r="31" spans="1:7" x14ac:dyDescent="0.25">
      <c r="B31" s="147" t="str">
        <f>'Eingaben &amp; Berechnung'!B73</f>
        <v>Amortisationszeit</v>
      </c>
      <c r="C31" s="130"/>
      <c r="D31" s="131"/>
      <c r="E31" s="172">
        <f>'Eingaben &amp; Berechnung'!E73</f>
        <v>6.4373465950210527</v>
      </c>
      <c r="F31" s="172">
        <f>'Eingaben &amp; Berechnung'!F73</f>
        <v>8.2199839471321834</v>
      </c>
      <c r="G31" s="104" t="str">
        <f>'Eingaben &amp; Berechnung'!G73</f>
        <v>Jahre</v>
      </c>
    </row>
    <row r="32" spans="1:7" x14ac:dyDescent="0.25">
      <c r="B32" s="147" t="str">
        <f>'Eingaben &amp; Berechnung'!B74</f>
        <v>Rendite (Steuerfrei) bei 20 Jahren Nutzungsdauer</v>
      </c>
      <c r="C32" s="130"/>
      <c r="D32" s="131"/>
      <c r="E32" s="173">
        <f>'Eingaben &amp; Berechnung'!E74</f>
        <v>0.14497638372868776</v>
      </c>
      <c r="F32" s="173">
        <f>'Eingaben &amp; Berechnung'!F74</f>
        <v>0.10519192489246716</v>
      </c>
      <c r="G32" s="104" t="str">
        <f>'Eingaben &amp; Berechnung'!G74</f>
        <v>p.a.</v>
      </c>
    </row>
    <row r="33" spans="1:7" s="5" customFormat="1" ht="15.75" x14ac:dyDescent="0.25">
      <c r="B33" s="101"/>
      <c r="C33" s="14"/>
      <c r="D33" s="14"/>
      <c r="E33" s="174"/>
      <c r="F33" s="174"/>
      <c r="G33" s="175"/>
    </row>
    <row r="34" spans="1:7" s="4" customFormat="1" ht="18.75" x14ac:dyDescent="0.3">
      <c r="A34" s="192" t="str">
        <f>'Eingaben &amp; Berechnung'!A94</f>
        <v>Beitrag zum Klimaschutz</v>
      </c>
      <c r="B34" s="193"/>
      <c r="C34" s="193"/>
      <c r="D34" s="194"/>
      <c r="E34" s="194"/>
      <c r="F34" s="194"/>
      <c r="G34" s="194"/>
    </row>
    <row r="35" spans="1:7" s="72" customFormat="1" x14ac:dyDescent="0.25">
      <c r="B35" s="132" t="str">
        <f>'Eingaben &amp; Berechnung'!B95</f>
        <v>Erzeugter PV Strom</v>
      </c>
      <c r="C35" s="133"/>
      <c r="D35" s="134"/>
      <c r="E35" s="108">
        <f>'Eingaben &amp; Berechnung'!E95</f>
        <v>53919.6</v>
      </c>
      <c r="F35" s="108">
        <f>'Eingaben &amp; Berechnung'!F95</f>
        <v>85822.03</v>
      </c>
      <c r="G35" s="107" t="str">
        <f>'Eingaben &amp; Berechnung'!G95</f>
        <v>kWh/Jahr</v>
      </c>
    </row>
    <row r="36" spans="1:7" ht="15.75" x14ac:dyDescent="0.25">
      <c r="B36" s="135" t="str">
        <f>'Eingaben &amp; Berechnung'!B97</f>
        <v>Vermiedene CO2 Emissionen</v>
      </c>
      <c r="C36" s="136">
        <f>'Eingaben &amp; Berechnung'!C97</f>
        <v>0.68400000000000005</v>
      </c>
      <c r="D36" s="137" t="str">
        <f>'Eingaben &amp; Berechnung'!D97</f>
        <v>kg CO2/kWh/Jahr</v>
      </c>
      <c r="E36" s="109">
        <f>'Eingaben &amp; Berechnung'!E97</f>
        <v>36881.006399999998</v>
      </c>
      <c r="F36" s="109">
        <f>'Eingaben &amp; Berechnung'!F97</f>
        <v>58702.268520000005</v>
      </c>
      <c r="G36" s="110" t="str">
        <f>'Eingaben &amp; Berechnung'!G97</f>
        <v>kg CO2/Jahr</v>
      </c>
    </row>
    <row r="37" spans="1:7" s="5" customFormat="1" ht="15.75" x14ac:dyDescent="0.25">
      <c r="B37" s="135" t="str">
        <f>'Eingaben &amp; Berechnung'!B98</f>
        <v>Waldfläche (CO2-äquivalent)</v>
      </c>
      <c r="C37" s="138">
        <f>'Eingaben &amp; Berechnung'!C99</f>
        <v>7140</v>
      </c>
      <c r="D37" s="137" t="str">
        <f>'Eingaben &amp; Berechnung'!D99</f>
        <v>qm/Fußballfeld</v>
      </c>
      <c r="E37" s="112">
        <f>'Eingaben &amp; Berechnung'!E99</f>
        <v>8.6090117647058815</v>
      </c>
      <c r="F37" s="112">
        <f>'Eingaben &amp; Berechnung'!F99</f>
        <v>13.70267705882353</v>
      </c>
      <c r="G37" s="110" t="str">
        <f>'Eingaben &amp; Berechnung'!G99</f>
        <v>Fussballfelder</v>
      </c>
    </row>
    <row r="38" spans="1:7" ht="15.75" x14ac:dyDescent="0.25">
      <c r="B38" s="135" t="str">
        <f>'Eingaben &amp; Berechnung'!B100</f>
        <v>Vermiedener Pro-Kopf CO2-Fußabdruck</v>
      </c>
      <c r="C38" s="139">
        <f>'Eingaben &amp; Berechnung'!C100</f>
        <v>10500</v>
      </c>
      <c r="D38" s="137" t="str">
        <f>'Eingaben &amp; Berechnung'!D100</f>
        <v>kg CO2/Person/Jahr</v>
      </c>
      <c r="E38" s="112">
        <f>'Eingaben &amp; Berechnung'!E100</f>
        <v>3.5124768</v>
      </c>
      <c r="F38" s="112">
        <f>'Eingaben &amp; Berechnung'!F100</f>
        <v>5.5906922400000001</v>
      </c>
      <c r="G38" s="113" t="str">
        <f>'Eingaben &amp; Berechnung'!G100</f>
        <v>Personen</v>
      </c>
    </row>
    <row r="39" spans="1:7" ht="15.75" x14ac:dyDescent="0.25">
      <c r="B39" s="135" t="str">
        <f>'Eingaben &amp; Berechnung'!B101</f>
        <v>Für Fahrt mit E-Auto</v>
      </c>
      <c r="C39" s="139">
        <f>'Eingaben &amp; Berechnung'!C101</f>
        <v>20</v>
      </c>
      <c r="D39" s="137" t="str">
        <f>'Eingaben &amp; Berechnung'!D101</f>
        <v>kWh/100 km</v>
      </c>
      <c r="E39" s="111">
        <f>'Eingaben &amp; Berechnung'!E101</f>
        <v>269598</v>
      </c>
      <c r="F39" s="111">
        <f>'Eingaben &amp; Berechnung'!F101</f>
        <v>429110.14999999997</v>
      </c>
      <c r="G39" s="110" t="str">
        <f>'Eingaben &amp; Berechnung'!G101</f>
        <v>km/Jahr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F1D0-D7AF-4121-912F-AE814FB61A7F}">
  <dimension ref="B1:P25"/>
  <sheetViews>
    <sheetView topLeftCell="A4" workbookViewId="0">
      <selection activeCell="K26" sqref="K26"/>
    </sheetView>
  </sheetViews>
  <sheetFormatPr defaultRowHeight="15" x14ac:dyDescent="0.25"/>
  <cols>
    <col min="3" max="3" width="17.7109375" customWidth="1"/>
    <col min="4" max="6" width="17.7109375" style="88" customWidth="1"/>
  </cols>
  <sheetData>
    <row r="1" spans="2:16" x14ac:dyDescent="0.25">
      <c r="B1" s="206" t="s">
        <v>186</v>
      </c>
      <c r="C1" s="206"/>
      <c r="D1" s="207"/>
      <c r="E1" s="207"/>
      <c r="F1" s="207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pans="2:16" x14ac:dyDescent="0.25">
      <c r="B2" s="206" t="s">
        <v>187</v>
      </c>
      <c r="C2" s="206"/>
      <c r="D2" s="207"/>
      <c r="E2" s="207"/>
      <c r="F2" s="207"/>
      <c r="G2" s="206"/>
      <c r="H2" s="206"/>
      <c r="I2" s="206"/>
      <c r="J2" s="206"/>
      <c r="K2" s="206"/>
      <c r="L2" s="206"/>
      <c r="M2" s="206"/>
      <c r="N2" s="206"/>
      <c r="O2" s="206"/>
      <c r="P2" s="206"/>
    </row>
    <row r="4" spans="2:16" x14ac:dyDescent="0.25">
      <c r="B4" s="282" t="s">
        <v>212</v>
      </c>
      <c r="C4" s="283"/>
      <c r="D4" s="286" t="s">
        <v>105</v>
      </c>
      <c r="E4" s="287"/>
      <c r="F4" s="287"/>
    </row>
    <row r="5" spans="2:16" x14ac:dyDescent="0.25">
      <c r="B5" s="282"/>
      <c r="C5" s="283"/>
      <c r="D5" s="85" t="s">
        <v>106</v>
      </c>
      <c r="E5" s="85" t="s">
        <v>107</v>
      </c>
      <c r="F5" s="85" t="s">
        <v>108</v>
      </c>
    </row>
    <row r="6" spans="2:16" x14ac:dyDescent="0.25">
      <c r="B6" s="282"/>
      <c r="C6" s="283"/>
      <c r="D6" s="26" t="s">
        <v>113</v>
      </c>
      <c r="E6" s="26" t="s">
        <v>111</v>
      </c>
      <c r="F6" s="26" t="s">
        <v>112</v>
      </c>
    </row>
    <row r="7" spans="2:16" x14ac:dyDescent="0.25">
      <c r="B7" s="282"/>
      <c r="C7" s="283"/>
      <c r="D7" s="90" t="s">
        <v>109</v>
      </c>
      <c r="E7" s="90" t="s">
        <v>114</v>
      </c>
      <c r="F7" s="90" t="s">
        <v>110</v>
      </c>
    </row>
    <row r="8" spans="2:16" x14ac:dyDescent="0.25">
      <c r="B8" s="284"/>
      <c r="C8" s="285"/>
      <c r="D8" s="86" t="s">
        <v>122</v>
      </c>
      <c r="E8" s="86" t="s">
        <v>120</v>
      </c>
      <c r="F8" s="86" t="s">
        <v>121</v>
      </c>
    </row>
    <row r="9" spans="2:16" x14ac:dyDescent="0.25">
      <c r="B9" s="288" t="s">
        <v>177</v>
      </c>
      <c r="C9" s="87">
        <v>0.1</v>
      </c>
      <c r="D9" s="89">
        <v>0.753</v>
      </c>
      <c r="E9" s="89">
        <v>0.999</v>
      </c>
      <c r="F9" s="89">
        <v>1</v>
      </c>
    </row>
    <row r="10" spans="2:16" x14ac:dyDescent="0.25">
      <c r="B10" s="288"/>
      <c r="C10" s="87">
        <v>0.2</v>
      </c>
      <c r="D10" s="89">
        <v>0.58599999999999997</v>
      </c>
      <c r="E10" s="89">
        <v>0.94399999999999995</v>
      </c>
      <c r="F10" s="89">
        <v>0.95499999999999996</v>
      </c>
    </row>
    <row r="11" spans="2:16" x14ac:dyDescent="0.25">
      <c r="B11" s="288"/>
      <c r="C11" s="87">
        <v>0.3</v>
      </c>
      <c r="D11" s="89">
        <v>0.49199999999999999</v>
      </c>
      <c r="E11" s="89">
        <v>0.84</v>
      </c>
      <c r="F11" s="89">
        <v>0.83599999999999997</v>
      </c>
    </row>
    <row r="12" spans="2:16" x14ac:dyDescent="0.25">
      <c r="B12" s="288"/>
      <c r="C12" s="87">
        <v>0.4</v>
      </c>
      <c r="D12" s="89">
        <v>0.43</v>
      </c>
      <c r="E12" s="89">
        <v>0.73899999999999999</v>
      </c>
      <c r="F12" s="89">
        <v>0.72799999999999998</v>
      </c>
    </row>
    <row r="13" spans="2:16" x14ac:dyDescent="0.25">
      <c r="B13" s="288"/>
      <c r="C13" s="87">
        <v>0.5</v>
      </c>
      <c r="D13" s="89">
        <v>0.38500000000000001</v>
      </c>
      <c r="E13" s="89">
        <v>0.65500000000000003</v>
      </c>
      <c r="F13" s="89">
        <v>0.64</v>
      </c>
    </row>
    <row r="14" spans="2:16" x14ac:dyDescent="0.25">
      <c r="B14" s="288"/>
      <c r="C14" s="87">
        <v>0.75</v>
      </c>
      <c r="D14" s="89">
        <v>0.31</v>
      </c>
      <c r="E14" s="89">
        <v>0.504</v>
      </c>
      <c r="F14" s="89">
        <v>0.48599999999999999</v>
      </c>
    </row>
    <row r="15" spans="2:16" x14ac:dyDescent="0.25">
      <c r="B15" s="288"/>
      <c r="C15" s="87">
        <v>1</v>
      </c>
      <c r="D15" s="89">
        <v>0.24399999999999999</v>
      </c>
      <c r="E15" s="89">
        <v>0.40799999999999997</v>
      </c>
      <c r="F15" s="89">
        <v>0.38900000000000001</v>
      </c>
    </row>
    <row r="16" spans="2:16" x14ac:dyDescent="0.25">
      <c r="B16" s="288"/>
      <c r="C16" s="87">
        <v>1.25</v>
      </c>
      <c r="D16" s="89">
        <v>0.23200000000000001</v>
      </c>
      <c r="E16" s="89">
        <v>0.34300000000000003</v>
      </c>
      <c r="F16" s="89">
        <v>0.32500000000000001</v>
      </c>
    </row>
    <row r="17" spans="2:6" x14ac:dyDescent="0.25">
      <c r="B17" s="288"/>
      <c r="C17" s="87">
        <v>1.5</v>
      </c>
      <c r="D17" s="89">
        <v>0.20799999999999999</v>
      </c>
      <c r="E17" s="89">
        <v>0.29599999999999999</v>
      </c>
      <c r="F17" s="89">
        <v>0.27900000000000003</v>
      </c>
    </row>
    <row r="18" spans="2:6" x14ac:dyDescent="0.25">
      <c r="B18" s="288"/>
      <c r="C18" s="87">
        <v>2</v>
      </c>
      <c r="D18" s="89">
        <v>0.17199999999999999</v>
      </c>
      <c r="E18" s="89">
        <v>0.23200000000000001</v>
      </c>
      <c r="F18" s="89">
        <v>0.218</v>
      </c>
    </row>
    <row r="19" spans="2:6" x14ac:dyDescent="0.25">
      <c r="B19" s="288"/>
      <c r="C19" s="87">
        <v>2.5</v>
      </c>
      <c r="D19" s="89">
        <v>0.14799999999999999</v>
      </c>
      <c r="E19" s="89">
        <v>0.191</v>
      </c>
      <c r="F19" s="89">
        <v>0.17899999999999999</v>
      </c>
    </row>
    <row r="20" spans="2:6" x14ac:dyDescent="0.25">
      <c r="B20" s="288"/>
      <c r="C20" s="87">
        <v>3</v>
      </c>
      <c r="D20" s="89">
        <v>0.129</v>
      </c>
      <c r="E20" s="89">
        <v>0.16200000000000001</v>
      </c>
      <c r="F20" s="89">
        <v>0.152</v>
      </c>
    </row>
    <row r="21" spans="2:6" x14ac:dyDescent="0.25">
      <c r="B21" s="288"/>
      <c r="C21" s="87">
        <v>4</v>
      </c>
      <c r="D21" s="89">
        <v>0.104</v>
      </c>
      <c r="E21" s="89">
        <v>0.125</v>
      </c>
      <c r="F21" s="89">
        <v>0.11600000000000001</v>
      </c>
    </row>
    <row r="22" spans="2:6" x14ac:dyDescent="0.25">
      <c r="B22" s="288"/>
      <c r="C22" s="87">
        <v>5</v>
      </c>
      <c r="D22" s="89">
        <v>8.6999999999999994E-2</v>
      </c>
      <c r="E22" s="89">
        <v>0.10100000000000001</v>
      </c>
      <c r="F22" s="89">
        <v>9.4E-2</v>
      </c>
    </row>
    <row r="24" spans="2:6" x14ac:dyDescent="0.25">
      <c r="B24" t="s">
        <v>119</v>
      </c>
    </row>
    <row r="25" spans="2:6" x14ac:dyDescent="0.25">
      <c r="B25" t="s">
        <v>213</v>
      </c>
    </row>
  </sheetData>
  <mergeCells count="3">
    <mergeCell ref="B4:C8"/>
    <mergeCell ref="D4:F4"/>
    <mergeCell ref="B9:B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FEF03-68FC-4626-A926-37BF410492D2}">
  <dimension ref="A1:G119"/>
  <sheetViews>
    <sheetView workbookViewId="0">
      <selection activeCell="C10" sqref="C10"/>
    </sheetView>
  </sheetViews>
  <sheetFormatPr defaultRowHeight="15" x14ac:dyDescent="0.25"/>
  <cols>
    <col min="1" max="1" width="18.42578125" style="1" customWidth="1"/>
    <col min="2" max="4" width="12.7109375" customWidth="1"/>
    <col min="5" max="5" width="3.28515625" customWidth="1"/>
    <col min="6" max="7" width="15.7109375" style="3" customWidth="1"/>
  </cols>
  <sheetData>
    <row r="1" spans="1:7" x14ac:dyDescent="0.25">
      <c r="A1" s="1" t="s">
        <v>61</v>
      </c>
    </row>
    <row r="3" spans="1:7" x14ac:dyDescent="0.25">
      <c r="A3" s="48" t="s">
        <v>62</v>
      </c>
      <c r="B3" s="11"/>
      <c r="C3" s="26" t="s">
        <v>35</v>
      </c>
      <c r="D3" s="11"/>
    </row>
    <row r="4" spans="1:7" x14ac:dyDescent="0.25">
      <c r="A4" s="49" t="s">
        <v>63</v>
      </c>
      <c r="B4" s="27" t="s">
        <v>31</v>
      </c>
      <c r="C4" s="27" t="s">
        <v>32</v>
      </c>
      <c r="D4" s="27" t="s">
        <v>33</v>
      </c>
    </row>
    <row r="5" spans="1:7" x14ac:dyDescent="0.25">
      <c r="A5" s="22" t="s">
        <v>13</v>
      </c>
      <c r="B5" s="18">
        <f>0.082</f>
        <v>8.2000000000000003E-2</v>
      </c>
      <c r="C5" s="18">
        <f>0.071</f>
        <v>7.0999999999999994E-2</v>
      </c>
      <c r="D5" s="18">
        <f>0.058</f>
        <v>5.8000000000000003E-2</v>
      </c>
      <c r="E5" s="2" t="s">
        <v>2</v>
      </c>
      <c r="G5" s="31" t="s">
        <v>37</v>
      </c>
    </row>
    <row r="6" spans="1:7" x14ac:dyDescent="0.25">
      <c r="A6" s="22" t="s">
        <v>7</v>
      </c>
      <c r="B6" s="18">
        <f>0.13</f>
        <v>0.13</v>
      </c>
      <c r="C6" s="18">
        <f>0.109</f>
        <v>0.109</v>
      </c>
      <c r="D6" s="18">
        <f>0.109</f>
        <v>0.109</v>
      </c>
      <c r="E6" s="2" t="s">
        <v>2</v>
      </c>
      <c r="G6" s="31" t="s">
        <v>37</v>
      </c>
    </row>
    <row r="8" spans="1:7" x14ac:dyDescent="0.25">
      <c r="A8" s="1" t="s">
        <v>59</v>
      </c>
      <c r="C8" s="45">
        <f>'Eingaben &amp; Berechnung'!C12</f>
        <v>45931</v>
      </c>
      <c r="G8" s="36"/>
    </row>
    <row r="9" spans="1:7" x14ac:dyDescent="0.25">
      <c r="A9" s="1" t="s">
        <v>65</v>
      </c>
      <c r="B9" s="50">
        <v>45292</v>
      </c>
      <c r="C9" s="47">
        <f>IF(C8&lt;B9,0,CEILING(DATEDIF(B9,C8,"m")/6,1))</f>
        <v>4</v>
      </c>
      <c r="F9" s="36"/>
      <c r="G9" s="46"/>
    </row>
    <row r="10" spans="1:7" x14ac:dyDescent="0.25">
      <c r="A10" s="21"/>
    </row>
    <row r="11" spans="1:7" x14ac:dyDescent="0.25">
      <c r="A11" s="48" t="s">
        <v>64</v>
      </c>
      <c r="B11" s="11"/>
      <c r="C11" s="26" t="s">
        <v>35</v>
      </c>
      <c r="D11" s="11"/>
    </row>
    <row r="12" spans="1:7" x14ac:dyDescent="0.25">
      <c r="A12" s="49">
        <f>C8</f>
        <v>45931</v>
      </c>
      <c r="B12" s="27" t="s">
        <v>31</v>
      </c>
      <c r="C12" s="27" t="s">
        <v>32</v>
      </c>
      <c r="D12" s="27" t="s">
        <v>33</v>
      </c>
    </row>
    <row r="13" spans="1:7" x14ac:dyDescent="0.25">
      <c r="A13" s="22" t="s">
        <v>13</v>
      </c>
      <c r="B13" s="18">
        <f>B5*(1-$C$9/100)</f>
        <v>7.8719999999999998E-2</v>
      </c>
      <c r="C13" s="18">
        <f t="shared" ref="C13:D13" si="0">C5*(1-$C$9/100)</f>
        <v>6.8159999999999984E-2</v>
      </c>
      <c r="D13" s="18">
        <f t="shared" si="0"/>
        <v>5.568E-2</v>
      </c>
      <c r="E13" s="2" t="s">
        <v>2</v>
      </c>
      <c r="G13" s="31"/>
    </row>
    <row r="14" spans="1:7" x14ac:dyDescent="0.25">
      <c r="A14" s="22" t="s">
        <v>7</v>
      </c>
      <c r="B14" s="18">
        <f>B6*(1-$C$9/100)</f>
        <v>0.12479999999999999</v>
      </c>
      <c r="C14" s="18">
        <f t="shared" ref="C14:D14" si="1">C6*(1-$C$9/100)</f>
        <v>0.10464</v>
      </c>
      <c r="D14" s="18">
        <f t="shared" si="1"/>
        <v>0.10464</v>
      </c>
      <c r="E14" s="2" t="s">
        <v>2</v>
      </c>
      <c r="G14" s="31"/>
    </row>
    <row r="16" spans="1:7" s="10" customFormat="1" x14ac:dyDescent="0.25">
      <c r="A16" s="23" t="s">
        <v>20</v>
      </c>
      <c r="B16" s="19"/>
      <c r="C16" s="26" t="s">
        <v>35</v>
      </c>
      <c r="D16" s="19"/>
      <c r="E16" s="19"/>
      <c r="F16" s="29" t="s">
        <v>34</v>
      </c>
      <c r="G16" s="29" t="s">
        <v>34</v>
      </c>
    </row>
    <row r="17" spans="1:7" s="10" customFormat="1" x14ac:dyDescent="0.25">
      <c r="A17" s="23"/>
      <c r="B17" s="19" t="str">
        <f>B12</f>
        <v>0 - 10 kWp</v>
      </c>
      <c r="C17" s="19" t="str">
        <f t="shared" ref="C17:D17" si="2">C12</f>
        <v>10 - 40 kWp</v>
      </c>
      <c r="D17" s="19" t="str">
        <f t="shared" si="2"/>
        <v>40 - 100 kWp</v>
      </c>
      <c r="E17" s="19"/>
      <c r="F17" s="29" t="s">
        <v>13</v>
      </c>
      <c r="G17" s="29" t="s">
        <v>7</v>
      </c>
    </row>
    <row r="18" spans="1:7" s="10" customFormat="1" x14ac:dyDescent="0.25">
      <c r="A18" s="24" t="s">
        <v>0</v>
      </c>
      <c r="B18" s="20" t="s">
        <v>0</v>
      </c>
      <c r="C18" s="20" t="s">
        <v>0</v>
      </c>
      <c r="D18" s="20" t="s">
        <v>0</v>
      </c>
      <c r="E18" s="20"/>
      <c r="F18" s="30" t="s">
        <v>36</v>
      </c>
      <c r="G18" s="30" t="s">
        <v>36</v>
      </c>
    </row>
    <row r="19" spans="1:7" x14ac:dyDescent="0.25">
      <c r="A19" s="25">
        <v>1</v>
      </c>
      <c r="B19">
        <f>IF($A19&lt;10,$A19,10)</f>
        <v>1</v>
      </c>
      <c r="C19">
        <f>IF($A19&lt;10,0,IF($A19&gt;40,30,$A19-10))</f>
        <v>0</v>
      </c>
      <c r="D19">
        <f>IF(A19&lt;40,0,A19-40)</f>
        <v>0</v>
      </c>
      <c r="F19" s="3">
        <f>(B19*B$13+C19*C$13+D19*D$13)/$A19</f>
        <v>7.8719999999999998E-2</v>
      </c>
      <c r="G19" s="3">
        <f>(B19*B$14+C19*C$14+D19*D$14)/$A19</f>
        <v>0.12479999999999999</v>
      </c>
    </row>
    <row r="20" spans="1:7" x14ac:dyDescent="0.25">
      <c r="A20" s="25">
        <v>2</v>
      </c>
      <c r="B20">
        <f t="shared" ref="B20:B83" si="3">IF($A20&lt;10,$A20,10)</f>
        <v>2</v>
      </c>
      <c r="C20">
        <f t="shared" ref="C20:C83" si="4">IF($A20&lt;10,0,IF($A20&gt;40,30,$A20-10))</f>
        <v>0</v>
      </c>
      <c r="D20">
        <f t="shared" ref="D20:D83" si="5">IF(A20&lt;40,0,A20-40)</f>
        <v>0</v>
      </c>
      <c r="F20" s="3">
        <f t="shared" ref="F20:F83" si="6">(B20*B$13+C20*C$13+D20*D$13)/$A20</f>
        <v>7.8719999999999998E-2</v>
      </c>
      <c r="G20" s="3">
        <f t="shared" ref="G20:G83" si="7">(B20*B$14+C20*C$14+D20*D$14)/$A20</f>
        <v>0.12479999999999999</v>
      </c>
    </row>
    <row r="21" spans="1:7" x14ac:dyDescent="0.25">
      <c r="A21" s="25">
        <v>3</v>
      </c>
      <c r="B21">
        <f t="shared" si="3"/>
        <v>3</v>
      </c>
      <c r="C21">
        <f t="shared" si="4"/>
        <v>0</v>
      </c>
      <c r="D21">
        <f t="shared" si="5"/>
        <v>0</v>
      </c>
      <c r="F21" s="3">
        <f t="shared" si="6"/>
        <v>7.8719999999999998E-2</v>
      </c>
      <c r="G21" s="3">
        <f t="shared" si="7"/>
        <v>0.12479999999999998</v>
      </c>
    </row>
    <row r="22" spans="1:7" x14ac:dyDescent="0.25">
      <c r="A22" s="25">
        <v>4</v>
      </c>
      <c r="B22">
        <f t="shared" si="3"/>
        <v>4</v>
      </c>
      <c r="C22">
        <f t="shared" si="4"/>
        <v>0</v>
      </c>
      <c r="D22">
        <f t="shared" si="5"/>
        <v>0</v>
      </c>
      <c r="F22" s="3">
        <f t="shared" si="6"/>
        <v>7.8719999999999998E-2</v>
      </c>
      <c r="G22" s="3">
        <f t="shared" si="7"/>
        <v>0.12479999999999999</v>
      </c>
    </row>
    <row r="23" spans="1:7" x14ac:dyDescent="0.25">
      <c r="A23" s="25">
        <v>5</v>
      </c>
      <c r="B23">
        <f t="shared" si="3"/>
        <v>5</v>
      </c>
      <c r="C23">
        <f t="shared" si="4"/>
        <v>0</v>
      </c>
      <c r="D23">
        <f t="shared" si="5"/>
        <v>0</v>
      </c>
      <c r="F23" s="3">
        <f t="shared" si="6"/>
        <v>7.8719999999999998E-2</v>
      </c>
      <c r="G23" s="3">
        <f t="shared" si="7"/>
        <v>0.12479999999999999</v>
      </c>
    </row>
    <row r="24" spans="1:7" x14ac:dyDescent="0.25">
      <c r="A24" s="25">
        <v>6</v>
      </c>
      <c r="B24">
        <f t="shared" si="3"/>
        <v>6</v>
      </c>
      <c r="C24">
        <f t="shared" si="4"/>
        <v>0</v>
      </c>
      <c r="D24">
        <f t="shared" si="5"/>
        <v>0</v>
      </c>
      <c r="F24" s="3">
        <f t="shared" si="6"/>
        <v>7.8719999999999998E-2</v>
      </c>
      <c r="G24" s="3">
        <f t="shared" si="7"/>
        <v>0.12479999999999998</v>
      </c>
    </row>
    <row r="25" spans="1:7" x14ac:dyDescent="0.25">
      <c r="A25" s="25">
        <v>7</v>
      </c>
      <c r="B25">
        <f t="shared" si="3"/>
        <v>7</v>
      </c>
      <c r="C25">
        <f t="shared" si="4"/>
        <v>0</v>
      </c>
      <c r="D25">
        <f t="shared" si="5"/>
        <v>0</v>
      </c>
      <c r="F25" s="3">
        <f t="shared" si="6"/>
        <v>7.8719999999999998E-2</v>
      </c>
      <c r="G25" s="3">
        <f t="shared" si="7"/>
        <v>0.12479999999999999</v>
      </c>
    </row>
    <row r="26" spans="1:7" x14ac:dyDescent="0.25">
      <c r="A26" s="25">
        <v>8</v>
      </c>
      <c r="B26">
        <f t="shared" si="3"/>
        <v>8</v>
      </c>
      <c r="C26">
        <f t="shared" si="4"/>
        <v>0</v>
      </c>
      <c r="D26">
        <f t="shared" si="5"/>
        <v>0</v>
      </c>
      <c r="F26" s="3">
        <f t="shared" si="6"/>
        <v>7.8719999999999998E-2</v>
      </c>
      <c r="G26" s="3">
        <f t="shared" si="7"/>
        <v>0.12479999999999999</v>
      </c>
    </row>
    <row r="27" spans="1:7" x14ac:dyDescent="0.25">
      <c r="A27" s="25">
        <v>9</v>
      </c>
      <c r="B27">
        <f t="shared" si="3"/>
        <v>9</v>
      </c>
      <c r="C27">
        <f t="shared" si="4"/>
        <v>0</v>
      </c>
      <c r="D27">
        <f t="shared" si="5"/>
        <v>0</v>
      </c>
      <c r="F27" s="3">
        <f t="shared" si="6"/>
        <v>7.8719999999999998E-2</v>
      </c>
      <c r="G27" s="3">
        <f t="shared" si="7"/>
        <v>0.12479999999999999</v>
      </c>
    </row>
    <row r="28" spans="1:7" x14ac:dyDescent="0.25">
      <c r="A28" s="25">
        <v>10</v>
      </c>
      <c r="B28">
        <f t="shared" si="3"/>
        <v>10</v>
      </c>
      <c r="C28">
        <f t="shared" si="4"/>
        <v>0</v>
      </c>
      <c r="D28">
        <f t="shared" si="5"/>
        <v>0</v>
      </c>
      <c r="F28" s="3">
        <f t="shared" si="6"/>
        <v>7.8719999999999998E-2</v>
      </c>
      <c r="G28" s="3">
        <f t="shared" si="7"/>
        <v>0.12479999999999999</v>
      </c>
    </row>
    <row r="29" spans="1:7" x14ac:dyDescent="0.25">
      <c r="A29" s="25">
        <v>11</v>
      </c>
      <c r="B29">
        <f t="shared" si="3"/>
        <v>10</v>
      </c>
      <c r="C29">
        <f t="shared" si="4"/>
        <v>1</v>
      </c>
      <c r="D29">
        <f t="shared" si="5"/>
        <v>0</v>
      </c>
      <c r="F29" s="3">
        <f t="shared" si="6"/>
        <v>7.7759999999999996E-2</v>
      </c>
      <c r="G29" s="3">
        <f t="shared" si="7"/>
        <v>0.12296727272727273</v>
      </c>
    </row>
    <row r="30" spans="1:7" x14ac:dyDescent="0.25">
      <c r="A30" s="25">
        <v>12</v>
      </c>
      <c r="B30">
        <f t="shared" si="3"/>
        <v>10</v>
      </c>
      <c r="C30">
        <f t="shared" si="4"/>
        <v>2</v>
      </c>
      <c r="D30">
        <f t="shared" si="5"/>
        <v>0</v>
      </c>
      <c r="F30" s="3">
        <f t="shared" si="6"/>
        <v>7.6960000000000001E-2</v>
      </c>
      <c r="G30" s="3">
        <f t="shared" si="7"/>
        <v>0.12143999999999999</v>
      </c>
    </row>
    <row r="31" spans="1:7" x14ac:dyDescent="0.25">
      <c r="A31" s="25">
        <v>13</v>
      </c>
      <c r="B31">
        <f t="shared" si="3"/>
        <v>10</v>
      </c>
      <c r="C31">
        <f t="shared" si="4"/>
        <v>3</v>
      </c>
      <c r="D31">
        <f t="shared" si="5"/>
        <v>0</v>
      </c>
      <c r="F31" s="3">
        <f t="shared" si="6"/>
        <v>7.6283076923076912E-2</v>
      </c>
      <c r="G31" s="3">
        <f t="shared" si="7"/>
        <v>0.1201476923076923</v>
      </c>
    </row>
    <row r="32" spans="1:7" x14ac:dyDescent="0.25">
      <c r="A32" s="25">
        <v>14</v>
      </c>
      <c r="B32">
        <f t="shared" si="3"/>
        <v>10</v>
      </c>
      <c r="C32">
        <f t="shared" si="4"/>
        <v>4</v>
      </c>
      <c r="D32">
        <f t="shared" si="5"/>
        <v>0</v>
      </c>
      <c r="F32" s="3">
        <f t="shared" si="6"/>
        <v>7.5702857142857141E-2</v>
      </c>
      <c r="G32" s="3">
        <f t="shared" si="7"/>
        <v>0.11904000000000001</v>
      </c>
    </row>
    <row r="33" spans="1:7" x14ac:dyDescent="0.25">
      <c r="A33" s="25">
        <v>15</v>
      </c>
      <c r="B33">
        <f t="shared" si="3"/>
        <v>10</v>
      </c>
      <c r="C33">
        <f t="shared" si="4"/>
        <v>5</v>
      </c>
      <c r="D33">
        <f t="shared" si="5"/>
        <v>0</v>
      </c>
      <c r="F33" s="3">
        <f t="shared" si="6"/>
        <v>7.5199999999999989E-2</v>
      </c>
      <c r="G33" s="3">
        <f t="shared" si="7"/>
        <v>0.11807999999999999</v>
      </c>
    </row>
    <row r="34" spans="1:7" x14ac:dyDescent="0.25">
      <c r="A34" s="25">
        <v>16</v>
      </c>
      <c r="B34">
        <f t="shared" si="3"/>
        <v>10</v>
      </c>
      <c r="C34">
        <f t="shared" si="4"/>
        <v>6</v>
      </c>
      <c r="D34">
        <f t="shared" si="5"/>
        <v>0</v>
      </c>
      <c r="F34" s="3">
        <f t="shared" si="6"/>
        <v>7.4759999999999993E-2</v>
      </c>
      <c r="G34" s="3">
        <f t="shared" si="7"/>
        <v>0.11724</v>
      </c>
    </row>
    <row r="35" spans="1:7" x14ac:dyDescent="0.25">
      <c r="A35" s="25">
        <v>17</v>
      </c>
      <c r="B35">
        <f t="shared" si="3"/>
        <v>10</v>
      </c>
      <c r="C35">
        <f t="shared" si="4"/>
        <v>7</v>
      </c>
      <c r="D35">
        <f t="shared" si="5"/>
        <v>0</v>
      </c>
      <c r="F35" s="3">
        <f t="shared" si="6"/>
        <v>7.4371764705882346E-2</v>
      </c>
      <c r="G35" s="3">
        <f t="shared" si="7"/>
        <v>0.11649882352941177</v>
      </c>
    </row>
    <row r="36" spans="1:7" x14ac:dyDescent="0.25">
      <c r="A36" s="25">
        <v>18</v>
      </c>
      <c r="B36">
        <f t="shared" si="3"/>
        <v>10</v>
      </c>
      <c r="C36">
        <f t="shared" si="4"/>
        <v>8</v>
      </c>
      <c r="D36">
        <f t="shared" si="5"/>
        <v>0</v>
      </c>
      <c r="F36" s="3">
        <f t="shared" si="6"/>
        <v>7.4026666666666657E-2</v>
      </c>
      <c r="G36" s="3">
        <f t="shared" si="7"/>
        <v>0.11584</v>
      </c>
    </row>
    <row r="37" spans="1:7" x14ac:dyDescent="0.25">
      <c r="A37" s="25">
        <v>19</v>
      </c>
      <c r="B37">
        <f t="shared" si="3"/>
        <v>10</v>
      </c>
      <c r="C37">
        <f t="shared" si="4"/>
        <v>9</v>
      </c>
      <c r="D37">
        <f t="shared" si="5"/>
        <v>0</v>
      </c>
      <c r="F37" s="3">
        <f t="shared" si="6"/>
        <v>7.3717894736842093E-2</v>
      </c>
      <c r="G37" s="3">
        <f t="shared" si="7"/>
        <v>0.11525052631578946</v>
      </c>
    </row>
    <row r="38" spans="1:7" x14ac:dyDescent="0.25">
      <c r="A38" s="25">
        <v>20</v>
      </c>
      <c r="B38">
        <f t="shared" si="3"/>
        <v>10</v>
      </c>
      <c r="C38">
        <f t="shared" si="4"/>
        <v>10</v>
      </c>
      <c r="D38">
        <f t="shared" si="5"/>
        <v>0</v>
      </c>
      <c r="F38" s="3">
        <f t="shared" si="6"/>
        <v>7.3439999999999991E-2</v>
      </c>
      <c r="G38" s="3">
        <f t="shared" si="7"/>
        <v>0.11472</v>
      </c>
    </row>
    <row r="39" spans="1:7" x14ac:dyDescent="0.25">
      <c r="A39" s="25">
        <v>21</v>
      </c>
      <c r="B39">
        <f t="shared" si="3"/>
        <v>10</v>
      </c>
      <c r="C39">
        <f t="shared" si="4"/>
        <v>11</v>
      </c>
      <c r="D39">
        <f t="shared" si="5"/>
        <v>0</v>
      </c>
      <c r="F39" s="3">
        <f t="shared" si="6"/>
        <v>7.3188571428571422E-2</v>
      </c>
      <c r="G39" s="3">
        <f t="shared" si="7"/>
        <v>0.11424000000000001</v>
      </c>
    </row>
    <row r="40" spans="1:7" x14ac:dyDescent="0.25">
      <c r="A40" s="25">
        <v>22</v>
      </c>
      <c r="B40">
        <f t="shared" si="3"/>
        <v>10</v>
      </c>
      <c r="C40">
        <f t="shared" si="4"/>
        <v>12</v>
      </c>
      <c r="D40">
        <f t="shared" si="5"/>
        <v>0</v>
      </c>
      <c r="F40" s="3">
        <f t="shared" si="6"/>
        <v>7.2959999999999997E-2</v>
      </c>
      <c r="G40" s="3">
        <f t="shared" si="7"/>
        <v>0.11380363636363637</v>
      </c>
    </row>
    <row r="41" spans="1:7" x14ac:dyDescent="0.25">
      <c r="A41" s="25">
        <v>23</v>
      </c>
      <c r="B41">
        <f t="shared" si="3"/>
        <v>10</v>
      </c>
      <c r="C41">
        <f t="shared" si="4"/>
        <v>13</v>
      </c>
      <c r="D41">
        <f t="shared" si="5"/>
        <v>0</v>
      </c>
      <c r="F41" s="3">
        <f t="shared" si="6"/>
        <v>7.2751304347826076E-2</v>
      </c>
      <c r="G41" s="3">
        <f t="shared" si="7"/>
        <v>0.11340521739130435</v>
      </c>
    </row>
    <row r="42" spans="1:7" x14ac:dyDescent="0.25">
      <c r="A42" s="25">
        <v>24</v>
      </c>
      <c r="B42">
        <f t="shared" si="3"/>
        <v>10</v>
      </c>
      <c r="C42">
        <f t="shared" si="4"/>
        <v>14</v>
      </c>
      <c r="D42">
        <f t="shared" si="5"/>
        <v>0</v>
      </c>
      <c r="F42" s="3">
        <f t="shared" si="6"/>
        <v>7.2559999999999999E-2</v>
      </c>
      <c r="G42" s="3">
        <f t="shared" si="7"/>
        <v>0.11303999999999999</v>
      </c>
    </row>
    <row r="43" spans="1:7" x14ac:dyDescent="0.25">
      <c r="A43" s="25">
        <v>25</v>
      </c>
      <c r="B43">
        <f t="shared" si="3"/>
        <v>10</v>
      </c>
      <c r="C43">
        <f t="shared" si="4"/>
        <v>15</v>
      </c>
      <c r="D43">
        <f t="shared" si="5"/>
        <v>0</v>
      </c>
      <c r="F43" s="3">
        <f t="shared" si="6"/>
        <v>7.238399999999999E-2</v>
      </c>
      <c r="G43" s="3">
        <f t="shared" si="7"/>
        <v>0.11270399999999998</v>
      </c>
    </row>
    <row r="44" spans="1:7" x14ac:dyDescent="0.25">
      <c r="A44" s="25">
        <v>26</v>
      </c>
      <c r="B44">
        <f t="shared" si="3"/>
        <v>10</v>
      </c>
      <c r="C44">
        <f t="shared" si="4"/>
        <v>16</v>
      </c>
      <c r="D44">
        <f t="shared" si="5"/>
        <v>0</v>
      </c>
      <c r="F44" s="3">
        <f t="shared" si="6"/>
        <v>7.2221538461538462E-2</v>
      </c>
      <c r="G44" s="3">
        <f t="shared" si="7"/>
        <v>0.11239384615384615</v>
      </c>
    </row>
    <row r="45" spans="1:7" x14ac:dyDescent="0.25">
      <c r="A45" s="25">
        <v>27</v>
      </c>
      <c r="B45">
        <f t="shared" si="3"/>
        <v>10</v>
      </c>
      <c r="C45">
        <f t="shared" si="4"/>
        <v>17</v>
      </c>
      <c r="D45">
        <f t="shared" si="5"/>
        <v>0</v>
      </c>
      <c r="F45" s="3">
        <f t="shared" si="6"/>
        <v>7.20711111111111E-2</v>
      </c>
      <c r="G45" s="3">
        <f t="shared" si="7"/>
        <v>0.11210666666666667</v>
      </c>
    </row>
    <row r="46" spans="1:7" x14ac:dyDescent="0.25">
      <c r="A46" s="25">
        <v>28</v>
      </c>
      <c r="B46">
        <f t="shared" si="3"/>
        <v>10</v>
      </c>
      <c r="C46">
        <f t="shared" si="4"/>
        <v>18</v>
      </c>
      <c r="D46">
        <f t="shared" si="5"/>
        <v>0</v>
      </c>
      <c r="F46" s="3">
        <f t="shared" si="6"/>
        <v>7.1931428571428563E-2</v>
      </c>
      <c r="G46" s="3">
        <f t="shared" si="7"/>
        <v>0.11184000000000001</v>
      </c>
    </row>
    <row r="47" spans="1:7" x14ac:dyDescent="0.25">
      <c r="A47" s="25">
        <v>29</v>
      </c>
      <c r="B47">
        <f t="shared" si="3"/>
        <v>10</v>
      </c>
      <c r="C47">
        <f t="shared" si="4"/>
        <v>19</v>
      </c>
      <c r="D47">
        <f t="shared" si="5"/>
        <v>0</v>
      </c>
      <c r="F47" s="3">
        <f t="shared" si="6"/>
        <v>7.1801379310344818E-2</v>
      </c>
      <c r="G47" s="3">
        <f t="shared" si="7"/>
        <v>0.11159172413793103</v>
      </c>
    </row>
    <row r="48" spans="1:7" x14ac:dyDescent="0.25">
      <c r="A48" s="25">
        <v>30</v>
      </c>
      <c r="B48">
        <f t="shared" si="3"/>
        <v>10</v>
      </c>
      <c r="C48">
        <f t="shared" si="4"/>
        <v>20</v>
      </c>
      <c r="D48">
        <f t="shared" si="5"/>
        <v>0</v>
      </c>
      <c r="F48" s="3">
        <f t="shared" si="6"/>
        <v>7.1679999999999994E-2</v>
      </c>
      <c r="G48" s="3">
        <f t="shared" si="7"/>
        <v>0.11135999999999999</v>
      </c>
    </row>
    <row r="49" spans="1:7" x14ac:dyDescent="0.25">
      <c r="A49" s="25">
        <v>31</v>
      </c>
      <c r="B49">
        <f t="shared" si="3"/>
        <v>10</v>
      </c>
      <c r="C49">
        <f t="shared" si="4"/>
        <v>21</v>
      </c>
      <c r="D49">
        <f t="shared" si="5"/>
        <v>0</v>
      </c>
      <c r="F49" s="3">
        <f t="shared" si="6"/>
        <v>7.1566451612903217E-2</v>
      </c>
      <c r="G49" s="3">
        <f t="shared" si="7"/>
        <v>0.1111432258064516</v>
      </c>
    </row>
    <row r="50" spans="1:7" x14ac:dyDescent="0.25">
      <c r="A50" s="25">
        <v>32</v>
      </c>
      <c r="B50">
        <f t="shared" si="3"/>
        <v>10</v>
      </c>
      <c r="C50">
        <f t="shared" si="4"/>
        <v>22</v>
      </c>
      <c r="D50">
        <f t="shared" si="5"/>
        <v>0</v>
      </c>
      <c r="F50" s="3">
        <f t="shared" si="6"/>
        <v>7.1459999999999996E-2</v>
      </c>
      <c r="G50" s="3">
        <f t="shared" si="7"/>
        <v>0.11094000000000001</v>
      </c>
    </row>
    <row r="51" spans="1:7" x14ac:dyDescent="0.25">
      <c r="A51" s="25">
        <v>33</v>
      </c>
      <c r="B51">
        <f t="shared" si="3"/>
        <v>10</v>
      </c>
      <c r="C51">
        <f t="shared" si="4"/>
        <v>23</v>
      </c>
      <c r="D51">
        <f t="shared" si="5"/>
        <v>0</v>
      </c>
      <c r="F51" s="3">
        <f t="shared" si="6"/>
        <v>7.1359999999999993E-2</v>
      </c>
      <c r="G51" s="3">
        <f t="shared" si="7"/>
        <v>0.11074909090909091</v>
      </c>
    </row>
    <row r="52" spans="1:7" x14ac:dyDescent="0.25">
      <c r="A52" s="25">
        <v>34</v>
      </c>
      <c r="B52">
        <f t="shared" si="3"/>
        <v>10</v>
      </c>
      <c r="C52">
        <f t="shared" si="4"/>
        <v>24</v>
      </c>
      <c r="D52">
        <f t="shared" si="5"/>
        <v>0</v>
      </c>
      <c r="F52" s="3">
        <f t="shared" si="6"/>
        <v>7.1265882352941165E-2</v>
      </c>
      <c r="G52" s="3">
        <f t="shared" si="7"/>
        <v>0.11056941176470589</v>
      </c>
    </row>
    <row r="53" spans="1:7" x14ac:dyDescent="0.25">
      <c r="A53" s="25">
        <v>35</v>
      </c>
      <c r="B53">
        <f t="shared" si="3"/>
        <v>10</v>
      </c>
      <c r="C53">
        <f t="shared" si="4"/>
        <v>25</v>
      </c>
      <c r="D53">
        <f t="shared" si="5"/>
        <v>0</v>
      </c>
      <c r="F53" s="3">
        <f t="shared" si="6"/>
        <v>7.1177142857142842E-2</v>
      </c>
      <c r="G53" s="3">
        <f t="shared" si="7"/>
        <v>0.1104</v>
      </c>
    </row>
    <row r="54" spans="1:7" x14ac:dyDescent="0.25">
      <c r="A54" s="25">
        <v>36</v>
      </c>
      <c r="B54">
        <f t="shared" si="3"/>
        <v>10</v>
      </c>
      <c r="C54">
        <f t="shared" si="4"/>
        <v>26</v>
      </c>
      <c r="D54">
        <f t="shared" si="5"/>
        <v>0</v>
      </c>
      <c r="F54" s="3">
        <f t="shared" si="6"/>
        <v>7.1093333333333314E-2</v>
      </c>
      <c r="G54" s="3">
        <f t="shared" si="7"/>
        <v>0.11023999999999999</v>
      </c>
    </row>
    <row r="55" spans="1:7" x14ac:dyDescent="0.25">
      <c r="A55" s="25">
        <v>37</v>
      </c>
      <c r="B55">
        <f t="shared" si="3"/>
        <v>10</v>
      </c>
      <c r="C55">
        <f t="shared" si="4"/>
        <v>27</v>
      </c>
      <c r="D55">
        <f t="shared" si="5"/>
        <v>0</v>
      </c>
      <c r="F55" s="3">
        <f t="shared" si="6"/>
        <v>7.1014054054054046E-2</v>
      </c>
      <c r="G55" s="3">
        <f t="shared" si="7"/>
        <v>0.11008864864864863</v>
      </c>
    </row>
    <row r="56" spans="1:7" x14ac:dyDescent="0.25">
      <c r="A56" s="25">
        <v>38</v>
      </c>
      <c r="B56">
        <f t="shared" si="3"/>
        <v>10</v>
      </c>
      <c r="C56">
        <f t="shared" si="4"/>
        <v>28</v>
      </c>
      <c r="D56">
        <f t="shared" si="5"/>
        <v>0</v>
      </c>
      <c r="F56" s="3">
        <f t="shared" si="6"/>
        <v>7.0938947368421032E-2</v>
      </c>
      <c r="G56" s="3">
        <f t="shared" si="7"/>
        <v>0.10994526315789474</v>
      </c>
    </row>
    <row r="57" spans="1:7" x14ac:dyDescent="0.25">
      <c r="A57" s="25">
        <v>39</v>
      </c>
      <c r="B57">
        <f t="shared" si="3"/>
        <v>10</v>
      </c>
      <c r="C57">
        <f t="shared" si="4"/>
        <v>29</v>
      </c>
      <c r="D57">
        <f t="shared" si="5"/>
        <v>0</v>
      </c>
      <c r="F57" s="3">
        <f t="shared" si="6"/>
        <v>7.0867692307692298E-2</v>
      </c>
      <c r="G57" s="3">
        <f t="shared" si="7"/>
        <v>0.10980923076923077</v>
      </c>
    </row>
    <row r="58" spans="1:7" x14ac:dyDescent="0.25">
      <c r="A58" s="25">
        <v>40</v>
      </c>
      <c r="B58">
        <f t="shared" si="3"/>
        <v>10</v>
      </c>
      <c r="C58">
        <f t="shared" si="4"/>
        <v>30</v>
      </c>
      <c r="D58">
        <f t="shared" si="5"/>
        <v>0</v>
      </c>
      <c r="F58" s="3">
        <f t="shared" si="6"/>
        <v>7.0799999999999988E-2</v>
      </c>
      <c r="G58" s="3">
        <f t="shared" si="7"/>
        <v>0.10968</v>
      </c>
    </row>
    <row r="59" spans="1:7" x14ac:dyDescent="0.25">
      <c r="A59" s="25">
        <v>41</v>
      </c>
      <c r="B59">
        <f t="shared" si="3"/>
        <v>10</v>
      </c>
      <c r="C59">
        <f t="shared" si="4"/>
        <v>30</v>
      </c>
      <c r="D59">
        <f t="shared" si="5"/>
        <v>1</v>
      </c>
      <c r="F59" s="3">
        <f t="shared" si="6"/>
        <v>7.0431219512195109E-2</v>
      </c>
      <c r="G59" s="3">
        <f t="shared" si="7"/>
        <v>0.1095570731707317</v>
      </c>
    </row>
    <row r="60" spans="1:7" x14ac:dyDescent="0.25">
      <c r="A60" s="25">
        <v>42</v>
      </c>
      <c r="B60">
        <f t="shared" si="3"/>
        <v>10</v>
      </c>
      <c r="C60">
        <f t="shared" si="4"/>
        <v>30</v>
      </c>
      <c r="D60">
        <f t="shared" si="5"/>
        <v>2</v>
      </c>
      <c r="F60" s="3">
        <f t="shared" si="6"/>
        <v>7.007999999999999E-2</v>
      </c>
      <c r="G60" s="3">
        <f t="shared" si="7"/>
        <v>0.10944</v>
      </c>
    </row>
    <row r="61" spans="1:7" x14ac:dyDescent="0.25">
      <c r="A61" s="25">
        <v>43</v>
      </c>
      <c r="B61">
        <f t="shared" si="3"/>
        <v>10</v>
      </c>
      <c r="C61">
        <f t="shared" si="4"/>
        <v>30</v>
      </c>
      <c r="D61">
        <f t="shared" si="5"/>
        <v>3</v>
      </c>
      <c r="F61" s="3">
        <f t="shared" si="6"/>
        <v>6.9745116279069749E-2</v>
      </c>
      <c r="G61" s="3">
        <f t="shared" si="7"/>
        <v>0.10932837209302325</v>
      </c>
    </row>
    <row r="62" spans="1:7" x14ac:dyDescent="0.25">
      <c r="A62" s="25">
        <v>44</v>
      </c>
      <c r="B62">
        <f t="shared" si="3"/>
        <v>10</v>
      </c>
      <c r="C62">
        <f t="shared" si="4"/>
        <v>30</v>
      </c>
      <c r="D62">
        <f t="shared" si="5"/>
        <v>4</v>
      </c>
      <c r="F62" s="3">
        <f t="shared" si="6"/>
        <v>6.9425454545454526E-2</v>
      </c>
      <c r="G62" s="3">
        <f t="shared" si="7"/>
        <v>0.10922181818181818</v>
      </c>
    </row>
    <row r="63" spans="1:7" x14ac:dyDescent="0.25">
      <c r="A63" s="25">
        <v>45</v>
      </c>
      <c r="B63">
        <f t="shared" si="3"/>
        <v>10</v>
      </c>
      <c r="C63">
        <f t="shared" si="4"/>
        <v>30</v>
      </c>
      <c r="D63">
        <f t="shared" si="5"/>
        <v>5</v>
      </c>
      <c r="F63" s="3">
        <f t="shared" si="6"/>
        <v>6.9119999999999987E-2</v>
      </c>
      <c r="G63" s="3">
        <f t="shared" si="7"/>
        <v>0.10912000000000001</v>
      </c>
    </row>
    <row r="64" spans="1:7" x14ac:dyDescent="0.25">
      <c r="A64" s="25">
        <v>46</v>
      </c>
      <c r="B64">
        <f t="shared" si="3"/>
        <v>10</v>
      </c>
      <c r="C64">
        <f t="shared" si="4"/>
        <v>30</v>
      </c>
      <c r="D64">
        <f t="shared" si="5"/>
        <v>6</v>
      </c>
      <c r="F64" s="3">
        <f t="shared" si="6"/>
        <v>6.8827826086956506E-2</v>
      </c>
      <c r="G64" s="3">
        <f t="shared" si="7"/>
        <v>0.10902260869565217</v>
      </c>
    </row>
    <row r="65" spans="1:7" x14ac:dyDescent="0.25">
      <c r="A65" s="25">
        <v>47</v>
      </c>
      <c r="B65">
        <f t="shared" si="3"/>
        <v>10</v>
      </c>
      <c r="C65">
        <f t="shared" si="4"/>
        <v>30</v>
      </c>
      <c r="D65">
        <f t="shared" si="5"/>
        <v>7</v>
      </c>
      <c r="F65" s="3">
        <f t="shared" si="6"/>
        <v>6.8548085106382967E-2</v>
      </c>
      <c r="G65" s="3">
        <f t="shared" si="7"/>
        <v>0.10892936170212765</v>
      </c>
    </row>
    <row r="66" spans="1:7" x14ac:dyDescent="0.25">
      <c r="A66" s="25">
        <v>48</v>
      </c>
      <c r="B66">
        <f t="shared" si="3"/>
        <v>10</v>
      </c>
      <c r="C66">
        <f t="shared" si="4"/>
        <v>30</v>
      </c>
      <c r="D66">
        <f t="shared" si="5"/>
        <v>8</v>
      </c>
      <c r="F66" s="3">
        <f t="shared" si="6"/>
        <v>6.8279999999999993E-2</v>
      </c>
      <c r="G66" s="3">
        <f t="shared" si="7"/>
        <v>0.10883999999999999</v>
      </c>
    </row>
    <row r="67" spans="1:7" x14ac:dyDescent="0.25">
      <c r="A67" s="25">
        <v>49</v>
      </c>
      <c r="B67">
        <f t="shared" si="3"/>
        <v>10</v>
      </c>
      <c r="C67">
        <f t="shared" si="4"/>
        <v>30</v>
      </c>
      <c r="D67">
        <f t="shared" si="5"/>
        <v>9</v>
      </c>
      <c r="F67" s="3">
        <f t="shared" si="6"/>
        <v>6.8022857142857121E-2</v>
      </c>
      <c r="G67" s="3">
        <f t="shared" si="7"/>
        <v>0.10875428571428572</v>
      </c>
    </row>
    <row r="68" spans="1:7" x14ac:dyDescent="0.25">
      <c r="A68" s="25">
        <v>50</v>
      </c>
      <c r="B68">
        <f t="shared" si="3"/>
        <v>10</v>
      </c>
      <c r="C68">
        <f t="shared" si="4"/>
        <v>30</v>
      </c>
      <c r="D68">
        <f t="shared" si="5"/>
        <v>10</v>
      </c>
      <c r="F68" s="3">
        <f t="shared" si="6"/>
        <v>6.7775999999999989E-2</v>
      </c>
      <c r="G68" s="3">
        <f t="shared" si="7"/>
        <v>0.108672</v>
      </c>
    </row>
    <row r="69" spans="1:7" x14ac:dyDescent="0.25">
      <c r="A69" s="25">
        <v>51</v>
      </c>
      <c r="B69">
        <f t="shared" si="3"/>
        <v>10</v>
      </c>
      <c r="C69">
        <f t="shared" si="4"/>
        <v>30</v>
      </c>
      <c r="D69">
        <f t="shared" si="5"/>
        <v>11</v>
      </c>
      <c r="F69" s="3">
        <f t="shared" si="6"/>
        <v>6.7538823529411762E-2</v>
      </c>
      <c r="G69" s="3">
        <f t="shared" si="7"/>
        <v>0.10859294117647059</v>
      </c>
    </row>
    <row r="70" spans="1:7" x14ac:dyDescent="0.25">
      <c r="A70" s="25">
        <v>52</v>
      </c>
      <c r="B70">
        <f t="shared" si="3"/>
        <v>10</v>
      </c>
      <c r="C70">
        <f t="shared" si="4"/>
        <v>30</v>
      </c>
      <c r="D70">
        <f t="shared" si="5"/>
        <v>12</v>
      </c>
      <c r="F70" s="3">
        <f t="shared" si="6"/>
        <v>6.7310769230769216E-2</v>
      </c>
      <c r="G70" s="3">
        <f t="shared" si="7"/>
        <v>0.10851692307692308</v>
      </c>
    </row>
    <row r="71" spans="1:7" x14ac:dyDescent="0.25">
      <c r="A71" s="25">
        <v>53</v>
      </c>
      <c r="B71">
        <f t="shared" si="3"/>
        <v>10</v>
      </c>
      <c r="C71">
        <f t="shared" si="4"/>
        <v>30</v>
      </c>
      <c r="D71">
        <f t="shared" si="5"/>
        <v>13</v>
      </c>
      <c r="F71" s="3">
        <f t="shared" si="6"/>
        <v>6.7091320754716965E-2</v>
      </c>
      <c r="G71" s="3">
        <f t="shared" si="7"/>
        <v>0.10844377358490566</v>
      </c>
    </row>
    <row r="72" spans="1:7" x14ac:dyDescent="0.25">
      <c r="A72" s="25">
        <v>54</v>
      </c>
      <c r="B72">
        <f t="shared" si="3"/>
        <v>10</v>
      </c>
      <c r="C72">
        <f t="shared" si="4"/>
        <v>30</v>
      </c>
      <c r="D72">
        <f t="shared" si="5"/>
        <v>14</v>
      </c>
      <c r="F72" s="3">
        <f t="shared" si="6"/>
        <v>6.6879999999999995E-2</v>
      </c>
      <c r="G72" s="3">
        <f t="shared" si="7"/>
        <v>0.10837333333333332</v>
      </c>
    </row>
    <row r="73" spans="1:7" x14ac:dyDescent="0.25">
      <c r="A73" s="25">
        <v>55</v>
      </c>
      <c r="B73">
        <f t="shared" si="3"/>
        <v>10</v>
      </c>
      <c r="C73">
        <f t="shared" si="4"/>
        <v>30</v>
      </c>
      <c r="D73">
        <f t="shared" si="5"/>
        <v>15</v>
      </c>
      <c r="F73" s="3">
        <f t="shared" si="6"/>
        <v>6.6676363636363631E-2</v>
      </c>
      <c r="G73" s="3">
        <f t="shared" si="7"/>
        <v>0.10830545454545454</v>
      </c>
    </row>
    <row r="74" spans="1:7" x14ac:dyDescent="0.25">
      <c r="A74" s="25">
        <v>56</v>
      </c>
      <c r="B74">
        <f t="shared" si="3"/>
        <v>10</v>
      </c>
      <c r="C74">
        <f t="shared" si="4"/>
        <v>30</v>
      </c>
      <c r="D74">
        <f t="shared" si="5"/>
        <v>16</v>
      </c>
      <c r="F74" s="3">
        <f t="shared" si="6"/>
        <v>6.6479999999999997E-2</v>
      </c>
      <c r="G74" s="3">
        <f t="shared" si="7"/>
        <v>0.10824</v>
      </c>
    </row>
    <row r="75" spans="1:7" x14ac:dyDescent="0.25">
      <c r="A75" s="25">
        <v>57</v>
      </c>
      <c r="B75">
        <f t="shared" si="3"/>
        <v>10</v>
      </c>
      <c r="C75">
        <f t="shared" si="4"/>
        <v>30</v>
      </c>
      <c r="D75">
        <f t="shared" si="5"/>
        <v>17</v>
      </c>
      <c r="F75" s="3">
        <f t="shared" si="6"/>
        <v>6.6290526315789466E-2</v>
      </c>
      <c r="G75" s="3">
        <f t="shared" si="7"/>
        <v>0.10817684210526315</v>
      </c>
    </row>
    <row r="76" spans="1:7" x14ac:dyDescent="0.25">
      <c r="A76" s="25">
        <v>58</v>
      </c>
      <c r="B76">
        <f t="shared" si="3"/>
        <v>10</v>
      </c>
      <c r="C76">
        <f t="shared" si="4"/>
        <v>30</v>
      </c>
      <c r="D76">
        <f t="shared" si="5"/>
        <v>18</v>
      </c>
      <c r="F76" s="3">
        <f t="shared" si="6"/>
        <v>6.6107586206896538E-2</v>
      </c>
      <c r="G76" s="3">
        <f t="shared" si="7"/>
        <v>0.10811586206896552</v>
      </c>
    </row>
    <row r="77" spans="1:7" x14ac:dyDescent="0.25">
      <c r="A77" s="25">
        <v>59</v>
      </c>
      <c r="B77">
        <f t="shared" si="3"/>
        <v>10</v>
      </c>
      <c r="C77">
        <f t="shared" si="4"/>
        <v>30</v>
      </c>
      <c r="D77">
        <f t="shared" si="5"/>
        <v>19</v>
      </c>
      <c r="F77" s="3">
        <f t="shared" si="6"/>
        <v>6.5930847457627104E-2</v>
      </c>
      <c r="G77" s="3">
        <f t="shared" si="7"/>
        <v>0.10805694915254237</v>
      </c>
    </row>
    <row r="78" spans="1:7" x14ac:dyDescent="0.25">
      <c r="A78" s="25">
        <v>60</v>
      </c>
      <c r="B78">
        <f t="shared" si="3"/>
        <v>10</v>
      </c>
      <c r="C78">
        <f t="shared" si="4"/>
        <v>30</v>
      </c>
      <c r="D78">
        <f t="shared" si="5"/>
        <v>20</v>
      </c>
      <c r="F78" s="3">
        <f t="shared" si="6"/>
        <v>6.5759999999999985E-2</v>
      </c>
      <c r="G78" s="3">
        <f t="shared" si="7"/>
        <v>0.10800000000000001</v>
      </c>
    </row>
    <row r="79" spans="1:7" x14ac:dyDescent="0.25">
      <c r="A79" s="25">
        <v>61</v>
      </c>
      <c r="B79">
        <f t="shared" si="3"/>
        <v>10</v>
      </c>
      <c r="C79">
        <f t="shared" si="4"/>
        <v>30</v>
      </c>
      <c r="D79">
        <f t="shared" si="5"/>
        <v>21</v>
      </c>
      <c r="F79" s="3">
        <f t="shared" si="6"/>
        <v>6.5594754098360644E-2</v>
      </c>
      <c r="G79" s="3">
        <f t="shared" si="7"/>
        <v>0.10794491803278689</v>
      </c>
    </row>
    <row r="80" spans="1:7" x14ac:dyDescent="0.25">
      <c r="A80" s="25">
        <v>62</v>
      </c>
      <c r="B80">
        <f t="shared" si="3"/>
        <v>10</v>
      </c>
      <c r="C80">
        <f t="shared" si="4"/>
        <v>30</v>
      </c>
      <c r="D80">
        <f t="shared" si="5"/>
        <v>22</v>
      </c>
      <c r="F80" s="3">
        <f t="shared" si="6"/>
        <v>6.5434838709677409E-2</v>
      </c>
      <c r="G80" s="3">
        <f t="shared" si="7"/>
        <v>0.10789161290322581</v>
      </c>
    </row>
    <row r="81" spans="1:7" x14ac:dyDescent="0.25">
      <c r="A81" s="25">
        <v>63</v>
      </c>
      <c r="B81">
        <f t="shared" si="3"/>
        <v>10</v>
      </c>
      <c r="C81">
        <f t="shared" si="4"/>
        <v>30</v>
      </c>
      <c r="D81">
        <f t="shared" si="5"/>
        <v>23</v>
      </c>
      <c r="F81" s="3">
        <f t="shared" si="6"/>
        <v>6.5279999999999977E-2</v>
      </c>
      <c r="G81" s="3">
        <f t="shared" si="7"/>
        <v>0.10784000000000001</v>
      </c>
    </row>
    <row r="82" spans="1:7" x14ac:dyDescent="0.25">
      <c r="A82" s="25">
        <v>64</v>
      </c>
      <c r="B82">
        <f t="shared" si="3"/>
        <v>10</v>
      </c>
      <c r="C82">
        <f t="shared" si="4"/>
        <v>30</v>
      </c>
      <c r="D82">
        <f t="shared" si="5"/>
        <v>24</v>
      </c>
      <c r="F82" s="3">
        <f t="shared" si="6"/>
        <v>6.5129999999999993E-2</v>
      </c>
      <c r="G82" s="3">
        <f t="shared" si="7"/>
        <v>0.10779</v>
      </c>
    </row>
    <row r="83" spans="1:7" x14ac:dyDescent="0.25">
      <c r="A83" s="25">
        <v>65</v>
      </c>
      <c r="B83">
        <f t="shared" si="3"/>
        <v>10</v>
      </c>
      <c r="C83">
        <f t="shared" si="4"/>
        <v>30</v>
      </c>
      <c r="D83">
        <f t="shared" si="5"/>
        <v>25</v>
      </c>
      <c r="F83" s="3">
        <f t="shared" si="6"/>
        <v>6.4984615384615377E-2</v>
      </c>
      <c r="G83" s="3">
        <f t="shared" si="7"/>
        <v>0.10774153846153846</v>
      </c>
    </row>
    <row r="84" spans="1:7" x14ac:dyDescent="0.25">
      <c r="A84" s="25">
        <v>66</v>
      </c>
      <c r="B84">
        <f t="shared" ref="B84:B118" si="8">IF($A84&lt;10,$A84,10)</f>
        <v>10</v>
      </c>
      <c r="C84">
        <f t="shared" ref="C84:C118" si="9">IF($A84&lt;10,0,IF($A84&gt;40,30,$A84-10))</f>
        <v>30</v>
      </c>
      <c r="D84">
        <f t="shared" ref="D84:D118" si="10">IF(A84&lt;40,0,A84-40)</f>
        <v>26</v>
      </c>
      <c r="F84" s="3">
        <f t="shared" ref="F84:F118" si="11">(B84*B$13+C84*C$13+D84*D$13)/$A84</f>
        <v>6.4843636363636353E-2</v>
      </c>
      <c r="G84" s="3">
        <f t="shared" ref="G84:G118" si="12">(B84*B$14+C84*C$14+D84*D$14)/$A84</f>
        <v>0.10769454545454545</v>
      </c>
    </row>
    <row r="85" spans="1:7" x14ac:dyDescent="0.25">
      <c r="A85" s="25">
        <v>67</v>
      </c>
      <c r="B85">
        <f t="shared" si="8"/>
        <v>10</v>
      </c>
      <c r="C85">
        <f t="shared" si="9"/>
        <v>30</v>
      </c>
      <c r="D85">
        <f t="shared" si="10"/>
        <v>27</v>
      </c>
      <c r="F85" s="3">
        <f t="shared" si="11"/>
        <v>6.4706865671641786E-2</v>
      </c>
      <c r="G85" s="3">
        <f t="shared" si="12"/>
        <v>0.10764895522388059</v>
      </c>
    </row>
    <row r="86" spans="1:7" x14ac:dyDescent="0.25">
      <c r="A86" s="25">
        <v>68</v>
      </c>
      <c r="B86">
        <f t="shared" si="8"/>
        <v>10</v>
      </c>
      <c r="C86">
        <f t="shared" si="9"/>
        <v>30</v>
      </c>
      <c r="D86">
        <f t="shared" si="10"/>
        <v>28</v>
      </c>
      <c r="F86" s="3">
        <f t="shared" si="11"/>
        <v>6.457411764705881E-2</v>
      </c>
      <c r="G86" s="3">
        <f t="shared" si="12"/>
        <v>0.10760470588235294</v>
      </c>
    </row>
    <row r="87" spans="1:7" x14ac:dyDescent="0.25">
      <c r="A87" s="25">
        <v>69</v>
      </c>
      <c r="B87">
        <f t="shared" si="8"/>
        <v>10</v>
      </c>
      <c r="C87">
        <f t="shared" si="9"/>
        <v>30</v>
      </c>
      <c r="D87">
        <f t="shared" si="10"/>
        <v>29</v>
      </c>
      <c r="F87" s="3">
        <f t="shared" si="11"/>
        <v>6.4445217391304335E-2</v>
      </c>
      <c r="G87" s="3">
        <f t="shared" si="12"/>
        <v>0.10756173913043478</v>
      </c>
    </row>
    <row r="88" spans="1:7" x14ac:dyDescent="0.25">
      <c r="A88" s="25">
        <v>70</v>
      </c>
      <c r="B88">
        <f t="shared" si="8"/>
        <v>10</v>
      </c>
      <c r="C88">
        <f t="shared" si="9"/>
        <v>30</v>
      </c>
      <c r="D88">
        <f t="shared" si="10"/>
        <v>30</v>
      </c>
      <c r="F88" s="3">
        <f t="shared" si="11"/>
        <v>6.4320000000000002E-2</v>
      </c>
      <c r="G88" s="3">
        <f t="shared" si="12"/>
        <v>0.10751999999999999</v>
      </c>
    </row>
    <row r="89" spans="1:7" x14ac:dyDescent="0.25">
      <c r="A89" s="25">
        <v>71</v>
      </c>
      <c r="B89">
        <f t="shared" si="8"/>
        <v>10</v>
      </c>
      <c r="C89">
        <f t="shared" si="9"/>
        <v>30</v>
      </c>
      <c r="D89">
        <f t="shared" si="10"/>
        <v>31</v>
      </c>
      <c r="F89" s="3">
        <f t="shared" si="11"/>
        <v>6.4198309859154923E-2</v>
      </c>
      <c r="G89" s="3">
        <f t="shared" si="12"/>
        <v>0.10747943661971832</v>
      </c>
    </row>
    <row r="90" spans="1:7" x14ac:dyDescent="0.25">
      <c r="A90" s="25">
        <v>72</v>
      </c>
      <c r="B90">
        <f t="shared" si="8"/>
        <v>10</v>
      </c>
      <c r="C90">
        <f t="shared" si="9"/>
        <v>30</v>
      </c>
      <c r="D90">
        <f t="shared" si="10"/>
        <v>32</v>
      </c>
      <c r="F90" s="3">
        <f t="shared" si="11"/>
        <v>6.4079999999999984E-2</v>
      </c>
      <c r="G90" s="3">
        <f t="shared" si="12"/>
        <v>0.10744000000000001</v>
      </c>
    </row>
    <row r="91" spans="1:7" x14ac:dyDescent="0.25">
      <c r="A91" s="25">
        <v>73</v>
      </c>
      <c r="B91">
        <f t="shared" si="8"/>
        <v>10</v>
      </c>
      <c r="C91">
        <f t="shared" si="9"/>
        <v>30</v>
      </c>
      <c r="D91">
        <f t="shared" si="10"/>
        <v>33</v>
      </c>
      <c r="F91" s="3">
        <f t="shared" si="11"/>
        <v>6.3964931506849315E-2</v>
      </c>
      <c r="G91" s="3">
        <f t="shared" si="12"/>
        <v>0.10740164383561644</v>
      </c>
    </row>
    <row r="92" spans="1:7" x14ac:dyDescent="0.25">
      <c r="A92" s="25">
        <v>74</v>
      </c>
      <c r="B92">
        <f t="shared" si="8"/>
        <v>10</v>
      </c>
      <c r="C92">
        <f t="shared" si="9"/>
        <v>30</v>
      </c>
      <c r="D92">
        <f t="shared" si="10"/>
        <v>34</v>
      </c>
      <c r="F92" s="3">
        <f t="shared" si="11"/>
        <v>6.385297297297296E-2</v>
      </c>
      <c r="G92" s="3">
        <f t="shared" si="12"/>
        <v>0.10736432432432433</v>
      </c>
    </row>
    <row r="93" spans="1:7" x14ac:dyDescent="0.25">
      <c r="A93" s="25">
        <v>75</v>
      </c>
      <c r="B93">
        <f t="shared" si="8"/>
        <v>10</v>
      </c>
      <c r="C93">
        <f t="shared" si="9"/>
        <v>30</v>
      </c>
      <c r="D93">
        <f t="shared" si="10"/>
        <v>35</v>
      </c>
      <c r="F93" s="3">
        <f t="shared" si="11"/>
        <v>6.3743999999999995E-2</v>
      </c>
      <c r="G93" s="3">
        <f t="shared" si="12"/>
        <v>0.10732799999999999</v>
      </c>
    </row>
    <row r="94" spans="1:7" x14ac:dyDescent="0.25">
      <c r="A94" s="25">
        <v>76</v>
      </c>
      <c r="B94">
        <f t="shared" si="8"/>
        <v>10</v>
      </c>
      <c r="C94">
        <f t="shared" si="9"/>
        <v>30</v>
      </c>
      <c r="D94">
        <f t="shared" si="10"/>
        <v>36</v>
      </c>
      <c r="F94" s="3">
        <f t="shared" si="11"/>
        <v>6.3637894736842102E-2</v>
      </c>
      <c r="G94" s="3">
        <f t="shared" si="12"/>
        <v>0.10729263157894736</v>
      </c>
    </row>
    <row r="95" spans="1:7" x14ac:dyDescent="0.25">
      <c r="A95" s="25">
        <v>77</v>
      </c>
      <c r="B95">
        <f t="shared" si="8"/>
        <v>10</v>
      </c>
      <c r="C95">
        <f t="shared" si="9"/>
        <v>30</v>
      </c>
      <c r="D95">
        <f t="shared" si="10"/>
        <v>37</v>
      </c>
      <c r="F95" s="3">
        <f t="shared" si="11"/>
        <v>6.3534545454545455E-2</v>
      </c>
      <c r="G95" s="3">
        <f t="shared" si="12"/>
        <v>0.10725818181818181</v>
      </c>
    </row>
    <row r="96" spans="1:7" x14ac:dyDescent="0.25">
      <c r="A96" s="25">
        <v>78</v>
      </c>
      <c r="B96">
        <f t="shared" si="8"/>
        <v>10</v>
      </c>
      <c r="C96">
        <f t="shared" si="9"/>
        <v>30</v>
      </c>
      <c r="D96">
        <f t="shared" si="10"/>
        <v>38</v>
      </c>
      <c r="F96" s="3">
        <f t="shared" si="11"/>
        <v>6.3433846153846146E-2</v>
      </c>
      <c r="G96" s="3">
        <f t="shared" si="12"/>
        <v>0.10722461538461538</v>
      </c>
    </row>
    <row r="97" spans="1:7" x14ac:dyDescent="0.25">
      <c r="A97" s="25">
        <v>79</v>
      </c>
      <c r="B97">
        <f t="shared" si="8"/>
        <v>10</v>
      </c>
      <c r="C97">
        <f t="shared" si="9"/>
        <v>30</v>
      </c>
      <c r="D97">
        <f t="shared" si="10"/>
        <v>39</v>
      </c>
      <c r="F97" s="3">
        <f t="shared" si="11"/>
        <v>6.3335696202531641E-2</v>
      </c>
      <c r="G97" s="3">
        <f t="shared" si="12"/>
        <v>0.10719189873417723</v>
      </c>
    </row>
    <row r="98" spans="1:7" x14ac:dyDescent="0.25">
      <c r="A98" s="25">
        <v>80</v>
      </c>
      <c r="B98">
        <f t="shared" si="8"/>
        <v>10</v>
      </c>
      <c r="C98">
        <f t="shared" si="9"/>
        <v>30</v>
      </c>
      <c r="D98">
        <f t="shared" si="10"/>
        <v>40</v>
      </c>
      <c r="F98" s="3">
        <f t="shared" si="11"/>
        <v>6.3239999999999991E-2</v>
      </c>
      <c r="G98" s="3">
        <f t="shared" si="12"/>
        <v>0.10716000000000001</v>
      </c>
    </row>
    <row r="99" spans="1:7" x14ac:dyDescent="0.25">
      <c r="A99" s="25">
        <v>81</v>
      </c>
      <c r="B99">
        <f t="shared" si="8"/>
        <v>10</v>
      </c>
      <c r="C99">
        <f t="shared" si="9"/>
        <v>30</v>
      </c>
      <c r="D99">
        <f t="shared" si="10"/>
        <v>41</v>
      </c>
      <c r="F99" s="3">
        <f t="shared" si="11"/>
        <v>6.3146666666666657E-2</v>
      </c>
      <c r="G99" s="3">
        <f t="shared" si="12"/>
        <v>0.1071288888888889</v>
      </c>
    </row>
    <row r="100" spans="1:7" x14ac:dyDescent="0.25">
      <c r="A100" s="25">
        <v>82</v>
      </c>
      <c r="B100">
        <f t="shared" si="8"/>
        <v>10</v>
      </c>
      <c r="C100">
        <f t="shared" si="9"/>
        <v>30</v>
      </c>
      <c r="D100">
        <f t="shared" si="10"/>
        <v>42</v>
      </c>
      <c r="F100" s="3">
        <f t="shared" si="11"/>
        <v>6.3055609756097558E-2</v>
      </c>
      <c r="G100" s="3">
        <f t="shared" si="12"/>
        <v>0.10709853658536586</v>
      </c>
    </row>
    <row r="101" spans="1:7" x14ac:dyDescent="0.25">
      <c r="A101" s="25">
        <v>83</v>
      </c>
      <c r="B101">
        <f t="shared" si="8"/>
        <v>10</v>
      </c>
      <c r="C101">
        <f t="shared" si="9"/>
        <v>30</v>
      </c>
      <c r="D101">
        <f t="shared" si="10"/>
        <v>43</v>
      </c>
      <c r="F101" s="3">
        <f t="shared" si="11"/>
        <v>6.2966746987951794E-2</v>
      </c>
      <c r="G101" s="3">
        <f t="shared" si="12"/>
        <v>0.1070689156626506</v>
      </c>
    </row>
    <row r="102" spans="1:7" x14ac:dyDescent="0.25">
      <c r="A102" s="25">
        <v>84</v>
      </c>
      <c r="B102">
        <f t="shared" si="8"/>
        <v>10</v>
      </c>
      <c r="C102">
        <f t="shared" si="9"/>
        <v>30</v>
      </c>
      <c r="D102">
        <f t="shared" si="10"/>
        <v>44</v>
      </c>
      <c r="F102" s="3">
        <f t="shared" si="11"/>
        <v>6.2879999999999991E-2</v>
      </c>
      <c r="G102" s="3">
        <f t="shared" si="12"/>
        <v>0.10704</v>
      </c>
    </row>
    <row r="103" spans="1:7" x14ac:dyDescent="0.25">
      <c r="A103" s="25">
        <v>85</v>
      </c>
      <c r="B103">
        <f t="shared" si="8"/>
        <v>10</v>
      </c>
      <c r="C103">
        <f t="shared" si="9"/>
        <v>30</v>
      </c>
      <c r="D103">
        <f t="shared" si="10"/>
        <v>45</v>
      </c>
      <c r="F103" s="3">
        <f t="shared" si="11"/>
        <v>6.2795294117647046E-2</v>
      </c>
      <c r="G103" s="3">
        <f t="shared" si="12"/>
        <v>0.10701176470588235</v>
      </c>
    </row>
    <row r="104" spans="1:7" x14ac:dyDescent="0.25">
      <c r="A104" s="25">
        <v>86</v>
      </c>
      <c r="B104">
        <f t="shared" si="8"/>
        <v>10</v>
      </c>
      <c r="C104">
        <f t="shared" si="9"/>
        <v>30</v>
      </c>
      <c r="D104">
        <f t="shared" si="10"/>
        <v>46</v>
      </c>
      <c r="F104" s="3">
        <f t="shared" si="11"/>
        <v>6.2712558139534871E-2</v>
      </c>
      <c r="G104" s="3">
        <f t="shared" si="12"/>
        <v>0.10698418604651162</v>
      </c>
    </row>
    <row r="105" spans="1:7" x14ac:dyDescent="0.25">
      <c r="A105" s="25">
        <v>87</v>
      </c>
      <c r="B105">
        <f t="shared" si="8"/>
        <v>10</v>
      </c>
      <c r="C105">
        <f t="shared" si="9"/>
        <v>30</v>
      </c>
      <c r="D105">
        <f t="shared" si="10"/>
        <v>47</v>
      </c>
      <c r="F105" s="3">
        <f t="shared" si="11"/>
        <v>6.2631724137931027E-2</v>
      </c>
      <c r="G105" s="3">
        <f t="shared" si="12"/>
        <v>0.10695724137931034</v>
      </c>
    </row>
    <row r="106" spans="1:7" x14ac:dyDescent="0.25">
      <c r="A106" s="25">
        <v>88</v>
      </c>
      <c r="B106">
        <f t="shared" si="8"/>
        <v>10</v>
      </c>
      <c r="C106">
        <f t="shared" si="9"/>
        <v>30</v>
      </c>
      <c r="D106">
        <f t="shared" si="10"/>
        <v>48</v>
      </c>
      <c r="F106" s="3">
        <f t="shared" si="11"/>
        <v>6.255272727272726E-2</v>
      </c>
      <c r="G106" s="3">
        <f t="shared" si="12"/>
        <v>0.10693090909090909</v>
      </c>
    </row>
    <row r="107" spans="1:7" x14ac:dyDescent="0.25">
      <c r="A107" s="25">
        <v>89</v>
      </c>
      <c r="B107">
        <f t="shared" si="8"/>
        <v>10</v>
      </c>
      <c r="C107">
        <f t="shared" si="9"/>
        <v>30</v>
      </c>
      <c r="D107">
        <f t="shared" si="10"/>
        <v>49</v>
      </c>
      <c r="F107" s="3">
        <f t="shared" si="11"/>
        <v>6.2475505617977517E-2</v>
      </c>
      <c r="G107" s="3">
        <f t="shared" si="12"/>
        <v>0.10690516853932584</v>
      </c>
    </row>
    <row r="108" spans="1:7" x14ac:dyDescent="0.25">
      <c r="A108" s="25">
        <v>90</v>
      </c>
      <c r="B108">
        <f t="shared" si="8"/>
        <v>10</v>
      </c>
      <c r="C108">
        <f t="shared" si="9"/>
        <v>30</v>
      </c>
      <c r="D108">
        <f t="shared" si="10"/>
        <v>50</v>
      </c>
      <c r="F108" s="3">
        <f t="shared" si="11"/>
        <v>6.2399999999999997E-2</v>
      </c>
      <c r="G108" s="3">
        <f t="shared" si="12"/>
        <v>0.10687999999999999</v>
      </c>
    </row>
    <row r="109" spans="1:7" x14ac:dyDescent="0.25">
      <c r="A109" s="25">
        <v>91</v>
      </c>
      <c r="B109">
        <f t="shared" si="8"/>
        <v>10</v>
      </c>
      <c r="C109">
        <f t="shared" si="9"/>
        <v>30</v>
      </c>
      <c r="D109">
        <f t="shared" si="10"/>
        <v>51</v>
      </c>
      <c r="F109" s="3">
        <f t="shared" si="11"/>
        <v>6.2326153846153837E-2</v>
      </c>
      <c r="G109" s="3">
        <f t="shared" si="12"/>
        <v>0.1068553846153846</v>
      </c>
    </row>
    <row r="110" spans="1:7" x14ac:dyDescent="0.25">
      <c r="A110" s="25">
        <v>92</v>
      </c>
      <c r="B110">
        <f t="shared" si="8"/>
        <v>10</v>
      </c>
      <c r="C110">
        <f t="shared" si="9"/>
        <v>30</v>
      </c>
      <c r="D110">
        <f t="shared" si="10"/>
        <v>52</v>
      </c>
      <c r="F110" s="3">
        <f t="shared" si="11"/>
        <v>6.225391304347825E-2</v>
      </c>
      <c r="G110" s="3">
        <f t="shared" si="12"/>
        <v>0.10683130434782608</v>
      </c>
    </row>
    <row r="111" spans="1:7" x14ac:dyDescent="0.25">
      <c r="A111" s="25">
        <v>93</v>
      </c>
      <c r="B111">
        <f t="shared" si="8"/>
        <v>10</v>
      </c>
      <c r="C111">
        <f t="shared" si="9"/>
        <v>30</v>
      </c>
      <c r="D111">
        <f t="shared" si="10"/>
        <v>53</v>
      </c>
      <c r="F111" s="3">
        <f t="shared" si="11"/>
        <v>6.2183225806451609E-2</v>
      </c>
      <c r="G111" s="3">
        <f t="shared" si="12"/>
        <v>0.10680774193548385</v>
      </c>
    </row>
    <row r="112" spans="1:7" x14ac:dyDescent="0.25">
      <c r="A112" s="25">
        <v>94</v>
      </c>
      <c r="B112">
        <f t="shared" si="8"/>
        <v>10</v>
      </c>
      <c r="C112">
        <f t="shared" si="9"/>
        <v>30</v>
      </c>
      <c r="D112">
        <f t="shared" si="10"/>
        <v>54</v>
      </c>
      <c r="F112" s="3">
        <f t="shared" si="11"/>
        <v>6.2114042553191487E-2</v>
      </c>
      <c r="G112" s="3">
        <f t="shared" si="12"/>
        <v>0.10678468085106381</v>
      </c>
    </row>
    <row r="113" spans="1:7" x14ac:dyDescent="0.25">
      <c r="A113" s="25">
        <v>95</v>
      </c>
      <c r="B113">
        <f t="shared" si="8"/>
        <v>10</v>
      </c>
      <c r="C113">
        <f t="shared" si="9"/>
        <v>30</v>
      </c>
      <c r="D113">
        <f t="shared" si="10"/>
        <v>55</v>
      </c>
      <c r="F113" s="3">
        <f t="shared" si="11"/>
        <v>6.2046315789473679E-2</v>
      </c>
      <c r="G113" s="3">
        <f t="shared" si="12"/>
        <v>0.10676210526315788</v>
      </c>
    </row>
    <row r="114" spans="1:7" x14ac:dyDescent="0.25">
      <c r="A114" s="25">
        <v>96</v>
      </c>
      <c r="B114">
        <f t="shared" si="8"/>
        <v>10</v>
      </c>
      <c r="C114">
        <f t="shared" si="9"/>
        <v>30</v>
      </c>
      <c r="D114">
        <f t="shared" si="10"/>
        <v>56</v>
      </c>
      <c r="F114" s="3">
        <f t="shared" si="11"/>
        <v>6.198E-2</v>
      </c>
      <c r="G114" s="3">
        <f t="shared" si="12"/>
        <v>0.10674</v>
      </c>
    </row>
    <row r="115" spans="1:7" x14ac:dyDescent="0.25">
      <c r="A115" s="25">
        <v>97</v>
      </c>
      <c r="B115">
        <f t="shared" si="8"/>
        <v>10</v>
      </c>
      <c r="C115">
        <f t="shared" si="9"/>
        <v>30</v>
      </c>
      <c r="D115">
        <f t="shared" si="10"/>
        <v>57</v>
      </c>
      <c r="F115" s="3">
        <f t="shared" si="11"/>
        <v>6.191505154639175E-2</v>
      </c>
      <c r="G115" s="3">
        <f t="shared" si="12"/>
        <v>0.10671835051546391</v>
      </c>
    </row>
    <row r="116" spans="1:7" x14ac:dyDescent="0.25">
      <c r="A116" s="25">
        <v>98</v>
      </c>
      <c r="B116">
        <f t="shared" si="8"/>
        <v>10</v>
      </c>
      <c r="C116">
        <f t="shared" si="9"/>
        <v>30</v>
      </c>
      <c r="D116">
        <f t="shared" si="10"/>
        <v>58</v>
      </c>
      <c r="F116" s="3">
        <f t="shared" si="11"/>
        <v>6.1851428571428564E-2</v>
      </c>
      <c r="G116" s="3">
        <f t="shared" si="12"/>
        <v>0.10669714285714285</v>
      </c>
    </row>
    <row r="117" spans="1:7" x14ac:dyDescent="0.25">
      <c r="A117" s="25">
        <v>99</v>
      </c>
      <c r="B117">
        <f t="shared" si="8"/>
        <v>10</v>
      </c>
      <c r="C117">
        <f t="shared" si="9"/>
        <v>30</v>
      </c>
      <c r="D117">
        <f t="shared" si="10"/>
        <v>59</v>
      </c>
      <c r="F117" s="3">
        <f t="shared" si="11"/>
        <v>6.1789090909090905E-2</v>
      </c>
      <c r="G117" s="3">
        <f t="shared" si="12"/>
        <v>0.10667636363636364</v>
      </c>
    </row>
    <row r="118" spans="1:7" x14ac:dyDescent="0.25">
      <c r="A118" s="25">
        <v>100</v>
      </c>
      <c r="B118">
        <f t="shared" si="8"/>
        <v>10</v>
      </c>
      <c r="C118">
        <f t="shared" si="9"/>
        <v>30</v>
      </c>
      <c r="D118">
        <f t="shared" si="10"/>
        <v>60</v>
      </c>
      <c r="F118" s="3">
        <f t="shared" si="11"/>
        <v>6.1727999999999998E-2</v>
      </c>
      <c r="G118" s="3">
        <f t="shared" si="12"/>
        <v>0.106656</v>
      </c>
    </row>
    <row r="119" spans="1:7" x14ac:dyDescent="0.25">
      <c r="A119" s="25">
        <v>101</v>
      </c>
      <c r="F119" s="3" t="s">
        <v>38</v>
      </c>
      <c r="G119" s="3" t="s">
        <v>38</v>
      </c>
    </row>
  </sheetData>
  <hyperlinks>
    <hyperlink ref="G5" r:id="rId1" display="https://www.solarwirtschaft.de/datawall/uploads/2023/01/bsw_verguetungssaetze_aktuell.pdf" xr:uid="{FDF05803-4D2A-4CB2-8AFF-3A675B1C6F59}"/>
    <hyperlink ref="G6" r:id="rId2" display="https://www.solarwirtschaft.de/datawall/uploads/2023/01/bsw_verguetungssaetze_aktuell.pdf" xr:uid="{33E50394-E74C-4B84-AE94-ABBE8F341316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DBE21-44AA-4BE0-9890-A70CB72F5A13}">
  <dimension ref="A1:H25"/>
  <sheetViews>
    <sheetView workbookViewId="0">
      <selection activeCell="D31" sqref="D31"/>
    </sheetView>
  </sheetViews>
  <sheetFormatPr defaultRowHeight="15" x14ac:dyDescent="0.25"/>
  <cols>
    <col min="1" max="1" width="20.140625" customWidth="1"/>
    <col min="2" max="2" width="12.7109375" customWidth="1"/>
    <col min="6" max="7" width="16.140625" customWidth="1"/>
    <col min="8" max="8" width="14.5703125" customWidth="1"/>
  </cols>
  <sheetData>
    <row r="1" spans="1:8" x14ac:dyDescent="0.25">
      <c r="A1" t="s">
        <v>76</v>
      </c>
    </row>
    <row r="3" spans="1:8" x14ac:dyDescent="0.25">
      <c r="A3" s="52" t="s">
        <v>66</v>
      </c>
      <c r="B3" s="52"/>
      <c r="C3" s="52"/>
      <c r="E3" s="53" t="s">
        <v>67</v>
      </c>
      <c r="F3" s="54"/>
      <c r="G3" s="54"/>
      <c r="H3" s="54"/>
    </row>
    <row r="4" spans="1:8" x14ac:dyDescent="0.25">
      <c r="A4" t="s">
        <v>68</v>
      </c>
      <c r="B4" s="55">
        <v>10000</v>
      </c>
      <c r="E4" s="56" t="s">
        <v>69</v>
      </c>
      <c r="F4" s="57" t="s">
        <v>70</v>
      </c>
      <c r="G4" s="58" t="s">
        <v>71</v>
      </c>
      <c r="H4" s="58" t="s">
        <v>72</v>
      </c>
    </row>
    <row r="5" spans="1:8" x14ac:dyDescent="0.25">
      <c r="A5" t="s">
        <v>3</v>
      </c>
      <c r="B5">
        <v>10</v>
      </c>
      <c r="C5" t="s">
        <v>1</v>
      </c>
      <c r="E5" s="59">
        <v>1</v>
      </c>
      <c r="F5" s="35">
        <f>B4</f>
        <v>10000</v>
      </c>
      <c r="G5" s="35">
        <f>B$9*F5</f>
        <v>775.46895328061998</v>
      </c>
      <c r="H5" s="35">
        <f>-$B$8</f>
        <v>-1000</v>
      </c>
    </row>
    <row r="6" spans="1:8" x14ac:dyDescent="0.25">
      <c r="B6" s="55"/>
      <c r="C6" s="2"/>
      <c r="E6" s="59">
        <v>2</v>
      </c>
      <c r="F6" s="35">
        <f t="shared" ref="F6:F25" si="0">F5+H5+G5</f>
        <v>9775.4689532806206</v>
      </c>
      <c r="G6" s="35">
        <f t="shared" ref="G6:G24" si="1">B$9*F6</f>
        <v>758.05726770277204</v>
      </c>
      <c r="H6" s="35">
        <f t="shared" ref="H6:H24" si="2">-$B$8</f>
        <v>-1000</v>
      </c>
    </row>
    <row r="7" spans="1:8" x14ac:dyDescent="0.25">
      <c r="A7" s="52" t="s">
        <v>73</v>
      </c>
      <c r="B7" s="52"/>
      <c r="C7" s="52"/>
      <c r="E7" s="59">
        <v>3</v>
      </c>
      <c r="F7" s="35">
        <f>F6+H6+G6</f>
        <v>9533.5262209833927</v>
      </c>
      <c r="G7" s="35">
        <f t="shared" si="1"/>
        <v>739.29535996593359</v>
      </c>
      <c r="H7" s="35">
        <f t="shared" si="2"/>
        <v>-1000</v>
      </c>
    </row>
    <row r="8" spans="1:8" x14ac:dyDescent="0.25">
      <c r="A8" t="s">
        <v>74</v>
      </c>
      <c r="B8" s="35">
        <f>B4/B5</f>
        <v>1000</v>
      </c>
      <c r="C8" s="60"/>
      <c r="E8" s="59">
        <v>4</v>
      </c>
      <c r="F8" s="35">
        <f t="shared" si="0"/>
        <v>9272.8215809493267</v>
      </c>
      <c r="G8" s="35">
        <f t="shared" si="1"/>
        <v>719.07852453367184</v>
      </c>
      <c r="H8" s="35">
        <f t="shared" si="2"/>
        <v>-1000</v>
      </c>
    </row>
    <row r="9" spans="1:8" x14ac:dyDescent="0.25">
      <c r="A9" t="s">
        <v>71</v>
      </c>
      <c r="B9" s="61">
        <v>7.7546895328061999E-2</v>
      </c>
      <c r="E9" s="59">
        <v>5</v>
      </c>
      <c r="F9" s="35">
        <f t="shared" si="0"/>
        <v>8991.9001054829987</v>
      </c>
      <c r="G9" s="35">
        <f t="shared" si="1"/>
        <v>697.29393628027969</v>
      </c>
      <c r="H9" s="35">
        <f t="shared" si="2"/>
        <v>-1000</v>
      </c>
    </row>
    <row r="10" spans="1:8" x14ac:dyDescent="0.25">
      <c r="E10" s="59">
        <v>6</v>
      </c>
      <c r="F10" s="35">
        <f t="shared" si="0"/>
        <v>8689.1940417632777</v>
      </c>
      <c r="G10" s="35">
        <f t="shared" si="1"/>
        <v>673.82002084183682</v>
      </c>
      <c r="H10" s="35">
        <f t="shared" si="2"/>
        <v>-1000</v>
      </c>
    </row>
    <row r="11" spans="1:8" x14ac:dyDescent="0.25">
      <c r="E11" s="59">
        <v>7</v>
      </c>
      <c r="F11" s="35">
        <f t="shared" si="0"/>
        <v>8363.0140626051143</v>
      </c>
      <c r="G11" s="35">
        <f t="shared" si="1"/>
        <v>648.52577613994936</v>
      </c>
      <c r="H11" s="35">
        <f t="shared" si="2"/>
        <v>-1000</v>
      </c>
    </row>
    <row r="12" spans="1:8" x14ac:dyDescent="0.25">
      <c r="E12" s="59">
        <v>8</v>
      </c>
      <c r="F12" s="35">
        <f t="shared" si="0"/>
        <v>8011.5398387450641</v>
      </c>
      <c r="G12" s="35">
        <f t="shared" si="1"/>
        <v>621.27004129176214</v>
      </c>
      <c r="H12" s="35">
        <f t="shared" si="2"/>
        <v>-1000</v>
      </c>
    </row>
    <row r="13" spans="1:8" x14ac:dyDescent="0.25">
      <c r="B13" s="35"/>
      <c r="E13" s="59">
        <v>9</v>
      </c>
      <c r="F13" s="35">
        <f t="shared" si="0"/>
        <v>7632.8098800368261</v>
      </c>
      <c r="G13" s="35">
        <f t="shared" si="1"/>
        <v>591.90070882621319</v>
      </c>
      <c r="H13" s="35">
        <f t="shared" si="2"/>
        <v>-1000</v>
      </c>
    </row>
    <row r="14" spans="1:8" x14ac:dyDescent="0.25">
      <c r="E14" s="59">
        <v>10</v>
      </c>
      <c r="F14" s="35">
        <f t="shared" si="0"/>
        <v>7224.7105888630394</v>
      </c>
      <c r="G14" s="35">
        <f t="shared" si="1"/>
        <v>560.2538758101033</v>
      </c>
      <c r="H14" s="35">
        <f t="shared" si="2"/>
        <v>-1000</v>
      </c>
    </row>
    <row r="15" spans="1:8" x14ac:dyDescent="0.25">
      <c r="B15" s="35"/>
      <c r="E15" s="59">
        <v>11</v>
      </c>
      <c r="F15" s="35">
        <f t="shared" si="0"/>
        <v>6784.9644646731431</v>
      </c>
      <c r="G15" s="35">
        <f t="shared" si="1"/>
        <v>526.15292914662848</v>
      </c>
      <c r="H15" s="35">
        <f t="shared" si="2"/>
        <v>-1000</v>
      </c>
    </row>
    <row r="16" spans="1:8" x14ac:dyDescent="0.25">
      <c r="C16" s="2"/>
      <c r="E16" s="59">
        <v>12</v>
      </c>
      <c r="F16" s="35">
        <f t="shared" si="0"/>
        <v>6311.1173938197717</v>
      </c>
      <c r="G16" s="35">
        <f t="shared" si="1"/>
        <v>489.40755994165329</v>
      </c>
      <c r="H16" s="35">
        <f t="shared" si="2"/>
        <v>-1000</v>
      </c>
    </row>
    <row r="17" spans="2:8" x14ac:dyDescent="0.25">
      <c r="E17" s="59">
        <v>13</v>
      </c>
      <c r="F17" s="35">
        <f t="shared" si="0"/>
        <v>5800.5249537614254</v>
      </c>
      <c r="G17" s="35">
        <f t="shared" si="1"/>
        <v>449.81270143714892</v>
      </c>
      <c r="H17" s="35">
        <f t="shared" si="2"/>
        <v>-1000</v>
      </c>
    </row>
    <row r="18" spans="2:8" x14ac:dyDescent="0.25">
      <c r="E18" s="59">
        <v>14</v>
      </c>
      <c r="F18" s="35">
        <f t="shared" si="0"/>
        <v>5250.3376551985748</v>
      </c>
      <c r="G18" s="35">
        <f t="shared" si="1"/>
        <v>407.14738458466633</v>
      </c>
      <c r="H18" s="35">
        <f t="shared" si="2"/>
        <v>-1000</v>
      </c>
    </row>
    <row r="19" spans="2:8" x14ac:dyDescent="0.25">
      <c r="B19" s="62"/>
      <c r="E19" s="59">
        <v>15</v>
      </c>
      <c r="F19" s="35">
        <f t="shared" si="0"/>
        <v>4657.4850397832415</v>
      </c>
      <c r="G19" s="35">
        <f t="shared" si="1"/>
        <v>361.17350487208569</v>
      </c>
      <c r="H19" s="35">
        <f t="shared" si="2"/>
        <v>-1000</v>
      </c>
    </row>
    <row r="20" spans="2:8" x14ac:dyDescent="0.25">
      <c r="B20" s="63"/>
      <c r="E20" s="59">
        <v>16</v>
      </c>
      <c r="F20" s="35">
        <f t="shared" si="0"/>
        <v>4018.6585446553272</v>
      </c>
      <c r="G20" s="35">
        <f t="shared" si="1"/>
        <v>311.63449352160865</v>
      </c>
      <c r="H20" s="35">
        <f t="shared" si="2"/>
        <v>-1000</v>
      </c>
    </row>
    <row r="21" spans="2:8" x14ac:dyDescent="0.25">
      <c r="E21" s="59">
        <v>17</v>
      </c>
      <c r="F21" s="35">
        <f t="shared" si="0"/>
        <v>3330.2930381769356</v>
      </c>
      <c r="G21" s="35">
        <f t="shared" si="1"/>
        <v>258.2538856432804</v>
      </c>
      <c r="H21" s="35">
        <f t="shared" si="2"/>
        <v>-1000</v>
      </c>
    </row>
    <row r="22" spans="2:8" x14ac:dyDescent="0.25">
      <c r="E22" s="59">
        <v>18</v>
      </c>
      <c r="F22" s="35">
        <f t="shared" si="0"/>
        <v>2588.5469238202159</v>
      </c>
      <c r="G22" s="35">
        <f t="shared" si="1"/>
        <v>200.73377735326315</v>
      </c>
      <c r="H22" s="35">
        <f t="shared" si="2"/>
        <v>-1000</v>
      </c>
    </row>
    <row r="23" spans="2:8" x14ac:dyDescent="0.25">
      <c r="E23" s="59">
        <v>19</v>
      </c>
      <c r="F23" s="35">
        <f t="shared" si="0"/>
        <v>1789.280701173479</v>
      </c>
      <c r="G23" s="35">
        <f t="shared" si="1"/>
        <v>138.75316324642117</v>
      </c>
      <c r="H23" s="35">
        <f t="shared" si="2"/>
        <v>-1000</v>
      </c>
    </row>
    <row r="24" spans="2:8" x14ac:dyDescent="0.25">
      <c r="E24" s="59">
        <v>20</v>
      </c>
      <c r="F24" s="35">
        <f t="shared" si="0"/>
        <v>928.03386441990017</v>
      </c>
      <c r="G24" s="35">
        <f t="shared" si="1"/>
        <v>71.966144945066873</v>
      </c>
      <c r="H24" s="35">
        <f t="shared" si="2"/>
        <v>-1000</v>
      </c>
    </row>
    <row r="25" spans="2:8" x14ac:dyDescent="0.25">
      <c r="E25" s="59">
        <v>21</v>
      </c>
      <c r="F25" s="64">
        <f t="shared" si="0"/>
        <v>9.3649670418471942E-6</v>
      </c>
      <c r="G25" s="35"/>
      <c r="H25" s="3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D376A-A417-42F8-A7E6-F4B55C36AD19}">
  <dimension ref="A2:G41"/>
  <sheetViews>
    <sheetView workbookViewId="0">
      <selection activeCell="A20" sqref="A20"/>
    </sheetView>
  </sheetViews>
  <sheetFormatPr defaultRowHeight="15" x14ac:dyDescent="0.25"/>
  <cols>
    <col min="1" max="1" width="23.28515625" customWidth="1"/>
    <col min="2" max="2" width="11" bestFit="1" customWidth="1"/>
    <col min="3" max="3" width="5.5703125" customWidth="1"/>
    <col min="5" max="7" width="12.5703125" style="62" customWidth="1"/>
  </cols>
  <sheetData>
    <row r="2" spans="1:7" x14ac:dyDescent="0.25">
      <c r="A2" s="69" t="s">
        <v>66</v>
      </c>
      <c r="B2" s="69"/>
      <c r="D2" s="69" t="s">
        <v>87</v>
      </c>
      <c r="E2" s="70"/>
      <c r="F2" s="70"/>
      <c r="G2" s="70"/>
    </row>
    <row r="3" spans="1:7" x14ac:dyDescent="0.25">
      <c r="A3" t="s">
        <v>86</v>
      </c>
      <c r="B3" s="55">
        <v>2914</v>
      </c>
      <c r="D3" t="s">
        <v>69</v>
      </c>
      <c r="E3" s="62" t="s">
        <v>88</v>
      </c>
      <c r="F3" s="62" t="s">
        <v>83</v>
      </c>
      <c r="G3" s="62" t="s">
        <v>89</v>
      </c>
    </row>
    <row r="4" spans="1:7" x14ac:dyDescent="0.25">
      <c r="A4" t="s">
        <v>83</v>
      </c>
      <c r="B4" s="68">
        <v>7.0000000000000007E-2</v>
      </c>
      <c r="D4">
        <v>0</v>
      </c>
      <c r="E4" s="62">
        <f>B3</f>
        <v>2914</v>
      </c>
      <c r="F4" s="62">
        <f t="shared" ref="F4:F41" si="0">B$4*E4</f>
        <v>203.98000000000002</v>
      </c>
      <c r="G4" s="62">
        <f>B$8</f>
        <v>404.40000000000003</v>
      </c>
    </row>
    <row r="5" spans="1:7" x14ac:dyDescent="0.25">
      <c r="A5" t="s">
        <v>91</v>
      </c>
      <c r="B5" s="62">
        <v>33.700000000000003</v>
      </c>
      <c r="D5">
        <v>1</v>
      </c>
      <c r="E5" s="62">
        <f>E4+F4-G4</f>
        <v>2713.58</v>
      </c>
      <c r="F5" s="62">
        <f t="shared" si="0"/>
        <v>189.95060000000001</v>
      </c>
      <c r="G5" s="62">
        <f t="shared" ref="G5:G7" si="1">B$8</f>
        <v>404.40000000000003</v>
      </c>
    </row>
    <row r="6" spans="1:7" x14ac:dyDescent="0.25">
      <c r="D6">
        <v>2</v>
      </c>
      <c r="E6" s="62">
        <f t="shared" ref="E6:E7" si="2">E5+F5-G5</f>
        <v>2499.1306</v>
      </c>
      <c r="F6" s="62">
        <f t="shared" si="0"/>
        <v>174.939142</v>
      </c>
      <c r="G6" s="62">
        <f t="shared" si="1"/>
        <v>404.40000000000003</v>
      </c>
    </row>
    <row r="7" spans="1:7" x14ac:dyDescent="0.25">
      <c r="A7" s="69" t="s">
        <v>73</v>
      </c>
      <c r="B7" s="69"/>
      <c r="D7">
        <v>3</v>
      </c>
      <c r="E7" s="62">
        <f t="shared" si="2"/>
        <v>2269.669742</v>
      </c>
      <c r="F7" s="62">
        <f t="shared" si="0"/>
        <v>158.87688194</v>
      </c>
      <c r="G7" s="62">
        <f t="shared" si="1"/>
        <v>404.40000000000003</v>
      </c>
    </row>
    <row r="8" spans="1:7" x14ac:dyDescent="0.25">
      <c r="A8" t="s">
        <v>90</v>
      </c>
      <c r="B8" s="35">
        <f>B5*12</f>
        <v>404.40000000000003</v>
      </c>
      <c r="D8">
        <v>4</v>
      </c>
      <c r="E8" s="62">
        <f t="shared" ref="E8:E41" si="3">E7+F7-G7</f>
        <v>2024.1466239400002</v>
      </c>
      <c r="F8" s="62">
        <f t="shared" si="0"/>
        <v>141.69026367580003</v>
      </c>
      <c r="G8" s="62">
        <f t="shared" ref="G8:G41" si="4">B$8</f>
        <v>404.40000000000003</v>
      </c>
    </row>
    <row r="9" spans="1:7" x14ac:dyDescent="0.25">
      <c r="A9" t="s">
        <v>92</v>
      </c>
      <c r="B9" s="71">
        <f>NPER(B4,B5*12,-B3,0,0)</f>
        <v>10.375455885551959</v>
      </c>
      <c r="D9">
        <v>5</v>
      </c>
      <c r="E9" s="62">
        <f t="shared" si="3"/>
        <v>1761.4368876158001</v>
      </c>
      <c r="F9" s="62">
        <f t="shared" si="0"/>
        <v>123.30058213310602</v>
      </c>
      <c r="G9" s="62">
        <f t="shared" si="4"/>
        <v>404.40000000000003</v>
      </c>
    </row>
    <row r="10" spans="1:7" x14ac:dyDescent="0.25">
      <c r="D10">
        <v>6</v>
      </c>
      <c r="E10" s="62">
        <f t="shared" si="3"/>
        <v>1480.337469748906</v>
      </c>
      <c r="F10" s="62">
        <f t="shared" si="0"/>
        <v>103.62362288242343</v>
      </c>
      <c r="G10" s="62">
        <f t="shared" si="4"/>
        <v>404.40000000000003</v>
      </c>
    </row>
    <row r="11" spans="1:7" x14ac:dyDescent="0.25">
      <c r="D11">
        <v>7</v>
      </c>
      <c r="E11" s="62">
        <f t="shared" si="3"/>
        <v>1179.5610926313293</v>
      </c>
      <c r="F11" s="62">
        <f t="shared" si="0"/>
        <v>82.569276484193054</v>
      </c>
      <c r="G11" s="62">
        <f t="shared" si="4"/>
        <v>404.40000000000003</v>
      </c>
    </row>
    <row r="12" spans="1:7" x14ac:dyDescent="0.25">
      <c r="D12">
        <v>8</v>
      </c>
      <c r="E12" s="62">
        <f t="shared" si="3"/>
        <v>857.73036911552231</v>
      </c>
      <c r="F12" s="62">
        <f t="shared" si="0"/>
        <v>60.041125838086565</v>
      </c>
      <c r="G12" s="62">
        <f t="shared" si="4"/>
        <v>404.40000000000003</v>
      </c>
    </row>
    <row r="13" spans="1:7" x14ac:dyDescent="0.25">
      <c r="D13">
        <v>9</v>
      </c>
      <c r="E13" s="62">
        <f t="shared" si="3"/>
        <v>513.37149495360882</v>
      </c>
      <c r="F13" s="62">
        <f t="shared" si="0"/>
        <v>35.936004646752622</v>
      </c>
      <c r="G13" s="62">
        <f t="shared" si="4"/>
        <v>404.40000000000003</v>
      </c>
    </row>
    <row r="14" spans="1:7" x14ac:dyDescent="0.25">
      <c r="D14">
        <v>10</v>
      </c>
      <c r="E14" s="62">
        <f t="shared" si="3"/>
        <v>144.9074996003614</v>
      </c>
      <c r="F14" s="62">
        <f t="shared" si="0"/>
        <v>10.143524972025299</v>
      </c>
      <c r="G14" s="62">
        <f t="shared" si="4"/>
        <v>404.40000000000003</v>
      </c>
    </row>
    <row r="15" spans="1:7" x14ac:dyDescent="0.25">
      <c r="D15">
        <v>11</v>
      </c>
      <c r="E15" s="62">
        <f t="shared" si="3"/>
        <v>-249.34897542761334</v>
      </c>
      <c r="F15" s="62">
        <f t="shared" si="0"/>
        <v>-17.454428279932934</v>
      </c>
      <c r="G15" s="62">
        <f t="shared" si="4"/>
        <v>404.40000000000003</v>
      </c>
    </row>
    <row r="16" spans="1:7" x14ac:dyDescent="0.25">
      <c r="D16">
        <v>12</v>
      </c>
      <c r="E16" s="62">
        <f t="shared" si="3"/>
        <v>-671.20340370754639</v>
      </c>
      <c r="F16" s="62">
        <f t="shared" si="0"/>
        <v>-46.984238259528254</v>
      </c>
      <c r="G16" s="62">
        <f t="shared" si="4"/>
        <v>404.40000000000003</v>
      </c>
    </row>
    <row r="17" spans="4:7" x14ac:dyDescent="0.25">
      <c r="D17">
        <v>13</v>
      </c>
      <c r="E17" s="62">
        <f t="shared" si="3"/>
        <v>-1122.5876419670747</v>
      </c>
      <c r="F17" s="62">
        <f t="shared" si="0"/>
        <v>-78.581134937695239</v>
      </c>
      <c r="G17" s="62">
        <f t="shared" si="4"/>
        <v>404.40000000000003</v>
      </c>
    </row>
    <row r="18" spans="4:7" x14ac:dyDescent="0.25">
      <c r="D18">
        <v>14</v>
      </c>
      <c r="E18" s="62">
        <f t="shared" si="3"/>
        <v>-1605.5687769047699</v>
      </c>
      <c r="F18" s="62">
        <f t="shared" si="0"/>
        <v>-112.38981438333391</v>
      </c>
      <c r="G18" s="62">
        <f t="shared" si="4"/>
        <v>404.40000000000003</v>
      </c>
    </row>
    <row r="19" spans="4:7" x14ac:dyDescent="0.25">
      <c r="D19">
        <v>15</v>
      </c>
      <c r="E19" s="62">
        <f t="shared" si="3"/>
        <v>-2122.358591288104</v>
      </c>
      <c r="F19" s="62">
        <f t="shared" si="0"/>
        <v>-148.56510139016729</v>
      </c>
      <c r="G19" s="62">
        <f t="shared" si="4"/>
        <v>404.40000000000003</v>
      </c>
    </row>
    <row r="20" spans="4:7" x14ac:dyDescent="0.25">
      <c r="D20">
        <v>16</v>
      </c>
      <c r="E20" s="62">
        <f t="shared" si="3"/>
        <v>-2675.3236926782715</v>
      </c>
      <c r="F20" s="62">
        <f t="shared" si="0"/>
        <v>-187.27265848747902</v>
      </c>
      <c r="G20" s="62">
        <f t="shared" si="4"/>
        <v>404.40000000000003</v>
      </c>
    </row>
    <row r="21" spans="4:7" x14ac:dyDescent="0.25">
      <c r="D21">
        <v>17</v>
      </c>
      <c r="E21" s="62">
        <f t="shared" si="3"/>
        <v>-3266.9963511657506</v>
      </c>
      <c r="F21" s="62">
        <f t="shared" si="0"/>
        <v>-228.68974458160255</v>
      </c>
      <c r="G21" s="62">
        <f t="shared" si="4"/>
        <v>404.40000000000003</v>
      </c>
    </row>
    <row r="22" spans="4:7" x14ac:dyDescent="0.25">
      <c r="D22">
        <v>18</v>
      </c>
      <c r="E22" s="62">
        <f t="shared" si="3"/>
        <v>-3900.0860957473533</v>
      </c>
      <c r="F22" s="62">
        <f t="shared" si="0"/>
        <v>-273.00602670231473</v>
      </c>
      <c r="G22" s="62">
        <f t="shared" si="4"/>
        <v>404.40000000000003</v>
      </c>
    </row>
    <row r="23" spans="4:7" x14ac:dyDescent="0.25">
      <c r="D23">
        <v>19</v>
      </c>
      <c r="E23" s="62">
        <f t="shared" si="3"/>
        <v>-4577.4921224496675</v>
      </c>
      <c r="F23" s="62">
        <f t="shared" si="0"/>
        <v>-320.42444857147677</v>
      </c>
      <c r="G23" s="62">
        <f t="shared" si="4"/>
        <v>404.40000000000003</v>
      </c>
    </row>
    <row r="24" spans="4:7" x14ac:dyDescent="0.25">
      <c r="D24">
        <v>20</v>
      </c>
      <c r="E24" s="62">
        <f t="shared" si="3"/>
        <v>-5302.3165710211442</v>
      </c>
      <c r="F24" s="62">
        <f t="shared" si="0"/>
        <v>-371.16215997148015</v>
      </c>
      <c r="G24" s="62">
        <f t="shared" si="4"/>
        <v>404.40000000000003</v>
      </c>
    </row>
    <row r="25" spans="4:7" x14ac:dyDescent="0.25">
      <c r="D25">
        <v>21</v>
      </c>
      <c r="E25" s="62">
        <f t="shared" si="3"/>
        <v>-6077.8787309926238</v>
      </c>
      <c r="F25" s="62">
        <f t="shared" si="0"/>
        <v>-425.45151116948369</v>
      </c>
      <c r="G25" s="62">
        <f t="shared" si="4"/>
        <v>404.40000000000003</v>
      </c>
    </row>
    <row r="26" spans="4:7" x14ac:dyDescent="0.25">
      <c r="D26">
        <v>22</v>
      </c>
      <c r="E26" s="62">
        <f t="shared" si="3"/>
        <v>-6907.7302421621071</v>
      </c>
      <c r="F26" s="62">
        <f t="shared" si="0"/>
        <v>-483.54111695134753</v>
      </c>
      <c r="G26" s="62">
        <f t="shared" si="4"/>
        <v>404.40000000000003</v>
      </c>
    </row>
    <row r="27" spans="4:7" x14ac:dyDescent="0.25">
      <c r="D27">
        <v>23</v>
      </c>
      <c r="E27" s="62">
        <f t="shared" si="3"/>
        <v>-7795.6713591134539</v>
      </c>
      <c r="F27" s="62">
        <f t="shared" si="0"/>
        <v>-545.69699513794183</v>
      </c>
      <c r="G27" s="62">
        <f t="shared" si="4"/>
        <v>404.40000000000003</v>
      </c>
    </row>
    <row r="28" spans="4:7" x14ac:dyDescent="0.25">
      <c r="D28">
        <v>24</v>
      </c>
      <c r="E28" s="62">
        <f t="shared" si="3"/>
        <v>-8745.7683542513951</v>
      </c>
      <c r="F28" s="62">
        <f t="shared" si="0"/>
        <v>-612.20378479759768</v>
      </c>
      <c r="G28" s="62">
        <f t="shared" si="4"/>
        <v>404.40000000000003</v>
      </c>
    </row>
    <row r="29" spans="4:7" x14ac:dyDescent="0.25">
      <c r="D29">
        <v>25</v>
      </c>
      <c r="E29" s="62">
        <f t="shared" si="3"/>
        <v>-9762.3721390489918</v>
      </c>
      <c r="F29" s="62">
        <f t="shared" si="0"/>
        <v>-683.36604973342946</v>
      </c>
      <c r="G29" s="62">
        <f t="shared" si="4"/>
        <v>404.40000000000003</v>
      </c>
    </row>
    <row r="30" spans="4:7" x14ac:dyDescent="0.25">
      <c r="D30">
        <v>26</v>
      </c>
      <c r="E30" s="62">
        <f t="shared" si="3"/>
        <v>-10850.138188782421</v>
      </c>
      <c r="F30" s="62">
        <f t="shared" si="0"/>
        <v>-759.50967321476958</v>
      </c>
      <c r="G30" s="62">
        <f t="shared" si="4"/>
        <v>404.40000000000003</v>
      </c>
    </row>
    <row r="31" spans="4:7" x14ac:dyDescent="0.25">
      <c r="D31">
        <v>27</v>
      </c>
      <c r="E31" s="62">
        <f t="shared" si="3"/>
        <v>-12014.047861997191</v>
      </c>
      <c r="F31" s="62">
        <f t="shared" si="0"/>
        <v>-840.98335033980345</v>
      </c>
      <c r="G31" s="62">
        <f t="shared" si="4"/>
        <v>404.40000000000003</v>
      </c>
    </row>
    <row r="32" spans="4:7" x14ac:dyDescent="0.25">
      <c r="D32">
        <v>28</v>
      </c>
      <c r="E32" s="62">
        <f t="shared" si="3"/>
        <v>-13259.431212336995</v>
      </c>
      <c r="F32" s="62">
        <f t="shared" si="0"/>
        <v>-928.16018486358973</v>
      </c>
      <c r="G32" s="62">
        <f t="shared" si="4"/>
        <v>404.40000000000003</v>
      </c>
    </row>
    <row r="33" spans="4:7" x14ac:dyDescent="0.25">
      <c r="D33">
        <v>29</v>
      </c>
      <c r="E33" s="62">
        <f t="shared" si="3"/>
        <v>-14591.991397200583</v>
      </c>
      <c r="F33" s="62">
        <f t="shared" si="0"/>
        <v>-1021.4393978040409</v>
      </c>
      <c r="G33" s="62">
        <f t="shared" si="4"/>
        <v>404.40000000000003</v>
      </c>
    </row>
    <row r="34" spans="4:7" x14ac:dyDescent="0.25">
      <c r="D34">
        <v>30</v>
      </c>
      <c r="E34" s="62">
        <f t="shared" si="3"/>
        <v>-16017.830795004624</v>
      </c>
      <c r="F34" s="62">
        <f t="shared" si="0"/>
        <v>-1121.2481556503237</v>
      </c>
      <c r="G34" s="62">
        <f t="shared" si="4"/>
        <v>404.40000000000003</v>
      </c>
    </row>
    <row r="35" spans="4:7" x14ac:dyDescent="0.25">
      <c r="D35">
        <v>31</v>
      </c>
      <c r="E35" s="62">
        <f t="shared" si="3"/>
        <v>-17543.47895065495</v>
      </c>
      <c r="F35" s="62">
        <f t="shared" si="0"/>
        <v>-1228.0435265458466</v>
      </c>
      <c r="G35" s="62">
        <f t="shared" si="4"/>
        <v>404.40000000000003</v>
      </c>
    </row>
    <row r="36" spans="4:7" x14ac:dyDescent="0.25">
      <c r="D36">
        <v>32</v>
      </c>
      <c r="E36" s="62">
        <f t="shared" si="3"/>
        <v>-19175.922477200798</v>
      </c>
      <c r="F36" s="62">
        <f t="shared" si="0"/>
        <v>-1342.3145734040561</v>
      </c>
      <c r="G36" s="62">
        <f t="shared" si="4"/>
        <v>404.40000000000003</v>
      </c>
    </row>
    <row r="37" spans="4:7" x14ac:dyDescent="0.25">
      <c r="D37">
        <v>33</v>
      </c>
      <c r="E37" s="62">
        <f t="shared" si="3"/>
        <v>-20922.637050604855</v>
      </c>
      <c r="F37" s="62">
        <f t="shared" si="0"/>
        <v>-1464.5845935423399</v>
      </c>
      <c r="G37" s="62">
        <f t="shared" si="4"/>
        <v>404.40000000000003</v>
      </c>
    </row>
    <row r="38" spans="4:7" x14ac:dyDescent="0.25">
      <c r="D38">
        <v>34</v>
      </c>
      <c r="E38" s="62">
        <f t="shared" si="3"/>
        <v>-22791.621644147195</v>
      </c>
      <c r="F38" s="62">
        <f t="shared" si="0"/>
        <v>-1595.4135150903039</v>
      </c>
      <c r="G38" s="62">
        <f t="shared" si="4"/>
        <v>404.40000000000003</v>
      </c>
    </row>
    <row r="39" spans="4:7" x14ac:dyDescent="0.25">
      <c r="D39">
        <v>35</v>
      </c>
      <c r="E39" s="62">
        <f t="shared" si="3"/>
        <v>-24791.435159237502</v>
      </c>
      <c r="F39" s="62">
        <f t="shared" si="0"/>
        <v>-1735.4004611466253</v>
      </c>
      <c r="G39" s="62">
        <f t="shared" si="4"/>
        <v>404.40000000000003</v>
      </c>
    </row>
    <row r="40" spans="4:7" x14ac:dyDescent="0.25">
      <c r="D40">
        <v>36</v>
      </c>
      <c r="E40" s="62">
        <f t="shared" si="3"/>
        <v>-26931.23562038413</v>
      </c>
      <c r="F40" s="62">
        <f t="shared" si="0"/>
        <v>-1885.1864934268892</v>
      </c>
      <c r="G40" s="62">
        <f t="shared" si="4"/>
        <v>404.40000000000003</v>
      </c>
    </row>
    <row r="41" spans="4:7" x14ac:dyDescent="0.25">
      <c r="D41">
        <v>37</v>
      </c>
      <c r="E41" s="62">
        <f t="shared" si="3"/>
        <v>-29220.82211381102</v>
      </c>
      <c r="F41" s="62">
        <f t="shared" si="0"/>
        <v>-2045.4575479667717</v>
      </c>
      <c r="G41" s="62">
        <f t="shared" si="4"/>
        <v>404.40000000000003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C4D6-ECA5-47BD-A1EE-695EFC78DE1B}">
  <dimension ref="B2:B8"/>
  <sheetViews>
    <sheetView workbookViewId="0">
      <selection activeCell="B9" sqref="B9"/>
    </sheetView>
  </sheetViews>
  <sheetFormatPr defaultRowHeight="15" x14ac:dyDescent="0.25"/>
  <cols>
    <col min="2" max="2" width="11" customWidth="1"/>
  </cols>
  <sheetData>
    <row r="2" spans="2:2" x14ac:dyDescent="0.25">
      <c r="B2" t="s">
        <v>207</v>
      </c>
    </row>
    <row r="3" spans="2:2" x14ac:dyDescent="0.25">
      <c r="B3" t="s">
        <v>205</v>
      </c>
    </row>
    <row r="4" spans="2:2" x14ac:dyDescent="0.25">
      <c r="B4" t="s">
        <v>202</v>
      </c>
    </row>
    <row r="5" spans="2:2" x14ac:dyDescent="0.25">
      <c r="B5" t="s">
        <v>203</v>
      </c>
    </row>
    <row r="6" spans="2:2" x14ac:dyDescent="0.25">
      <c r="B6" t="s">
        <v>206</v>
      </c>
    </row>
    <row r="7" spans="2:2" x14ac:dyDescent="0.25">
      <c r="B7" t="s">
        <v>204</v>
      </c>
    </row>
    <row r="8" spans="2:2" x14ac:dyDescent="0.25">
      <c r="B8" t="s">
        <v>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Eingaben &amp; Berechnung</vt:lpstr>
      <vt:lpstr>Hinweise</vt:lpstr>
      <vt:lpstr>Ausgabeblatt</vt:lpstr>
      <vt:lpstr>Direktverbrauchsquote</vt:lpstr>
      <vt:lpstr>Einspeisevergütung</vt:lpstr>
      <vt:lpstr>Rendite</vt:lpstr>
      <vt:lpstr>Tilgung</vt:lpstr>
      <vt:lpstr>Betriebsmodelle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cp:lastPrinted>2025-07-09T10:46:21Z</cp:lastPrinted>
  <dcterms:created xsi:type="dcterms:W3CDTF">2015-06-05T18:17:20Z</dcterms:created>
  <dcterms:modified xsi:type="dcterms:W3CDTF">2025-09-10T14:23:06Z</dcterms:modified>
</cp:coreProperties>
</file>