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rivo\Documents\PV\Wirtschaftlichkeit\"/>
    </mc:Choice>
  </mc:AlternateContent>
  <xr:revisionPtr revIDLastSave="0" documentId="13_ncr:1_{069E143C-44A8-4D88-846F-78D6A2C6C4EA}" xr6:coauthVersionLast="47" xr6:coauthVersionMax="47" xr10:uidLastSave="{00000000-0000-0000-0000-000000000000}"/>
  <bookViews>
    <workbookView xWindow="1245" yWindow="345" windowWidth="27555" windowHeight="15135" tabRatio="646" xr2:uid="{00000000-000D-0000-FFFF-FFFF00000000}"/>
  </bookViews>
  <sheets>
    <sheet name="Eingaben &amp; Berechnung" sheetId="2" r:id="rId1"/>
    <sheet name="Hinweise" sheetId="3" r:id="rId2"/>
    <sheet name="Ausgabeblatt" sheetId="8" r:id="rId3"/>
    <sheet name="Direktverbrauchsquote" sheetId="7" r:id="rId4"/>
    <sheet name="Einspeisevergütung" sheetId="4" r:id="rId5"/>
    <sheet name="Rendite" sheetId="5" r:id="rId6"/>
    <sheet name="Tilgung" sheetId="6" r:id="rId7"/>
    <sheet name="Betriebsmodell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3" i="7" l="1"/>
  <c r="C74" i="7" s="1"/>
  <c r="E78" i="7" s="1"/>
  <c r="H82" i="7" l="1"/>
  <c r="F82" i="7"/>
  <c r="D82" i="7"/>
  <c r="H79" i="7"/>
  <c r="D81" i="7"/>
  <c r="G81" i="7"/>
  <c r="G79" i="7"/>
  <c r="F80" i="7"/>
  <c r="H81" i="7"/>
  <c r="D80" i="7"/>
  <c r="F81" i="7"/>
  <c r="F79" i="7"/>
  <c r="D79" i="7"/>
  <c r="E81" i="7"/>
  <c r="E79" i="7"/>
  <c r="H80" i="7"/>
  <c r="H78" i="7"/>
  <c r="G82" i="7"/>
  <c r="G80" i="7"/>
  <c r="G78" i="7"/>
  <c r="F78" i="7"/>
  <c r="D78" i="7"/>
  <c r="E82" i="7"/>
  <c r="E80" i="7"/>
  <c r="B2" i="7"/>
  <c r="K40" i="2"/>
  <c r="F99" i="2"/>
  <c r="G99" i="2"/>
  <c r="H99" i="2"/>
  <c r="I99" i="2"/>
  <c r="J99" i="2"/>
  <c r="K99" i="2"/>
  <c r="E99" i="2"/>
  <c r="F63" i="2" a="1"/>
  <c r="F63" i="2" s="1"/>
  <c r="I63" i="2" a="1"/>
  <c r="I63" i="2" s="1"/>
  <c r="J63" i="2" a="1"/>
  <c r="J63" i="2" s="1"/>
  <c r="E63" i="2" a="1"/>
  <c r="E63" i="2" s="1"/>
  <c r="F53" i="2" a="1"/>
  <c r="F53" i="2" s="1"/>
  <c r="G53" i="2" a="1"/>
  <c r="G53" i="2" s="1"/>
  <c r="H53" i="2" a="1"/>
  <c r="H53" i="2" s="1"/>
  <c r="I53" i="2" a="1"/>
  <c r="I53" i="2" s="1"/>
  <c r="J53" i="2" a="1"/>
  <c r="J53" i="2" s="1"/>
  <c r="K53" i="2" a="1"/>
  <c r="K53" i="2" s="1"/>
  <c r="E53" i="2" a="1"/>
  <c r="E53" i="2" s="1"/>
  <c r="F52" i="2"/>
  <c r="G52" i="2"/>
  <c r="H52" i="2"/>
  <c r="I52" i="2"/>
  <c r="J52" i="2"/>
  <c r="K52" i="2"/>
  <c r="E52" i="2"/>
  <c r="E54" i="2" l="1" a="1"/>
  <c r="E54" i="2" s="1"/>
  <c r="F54" i="2" a="1"/>
  <c r="F54" i="2" s="1"/>
  <c r="J54" i="2" a="1"/>
  <c r="J54" i="2" s="1"/>
  <c r="I54" i="2" a="1"/>
  <c r="I54" i="2" s="1"/>
  <c r="G54" i="2" a="1"/>
  <c r="G54" i="2" s="1"/>
  <c r="K54" i="2" a="1"/>
  <c r="K54" i="2" s="1"/>
  <c r="H54" i="2" a="1"/>
  <c r="H54" i="2" s="1"/>
  <c r="F20" i="2" l="1" a="1"/>
  <c r="F20" i="2" s="1"/>
  <c r="G20" i="2" a="1"/>
  <c r="G20" i="2" s="1"/>
  <c r="H20" i="2" a="1"/>
  <c r="H20" i="2" s="1"/>
  <c r="H68" i="2" s="1"/>
  <c r="I20" i="2" a="1"/>
  <c r="I20" i="2" s="1"/>
  <c r="J20" i="2" a="1"/>
  <c r="J20" i="2" s="1"/>
  <c r="J67" i="2" s="1"/>
  <c r="K20" i="2" a="1"/>
  <c r="K20" i="2" s="1"/>
  <c r="E20" i="2" a="1"/>
  <c r="E20" i="2" s="1"/>
  <c r="K39" i="2"/>
  <c r="F44" i="2"/>
  <c r="F15" i="8" s="1"/>
  <c r="G44" i="2"/>
  <c r="G15" i="8" s="1"/>
  <c r="H44" i="2"/>
  <c r="H15" i="8" s="1"/>
  <c r="I44" i="2"/>
  <c r="I15" i="8" s="1"/>
  <c r="J44" i="2"/>
  <c r="K44" i="2"/>
  <c r="K15" i="8" s="1"/>
  <c r="E44" i="2"/>
  <c r="E15" i="8" s="1"/>
  <c r="K42" i="2"/>
  <c r="K62" i="2" s="1" a="1"/>
  <c r="K62" i="2" s="1"/>
  <c r="K38" i="2" a="1"/>
  <c r="K38" i="2" s="1"/>
  <c r="I19" i="8"/>
  <c r="F19" i="8"/>
  <c r="I8" i="8"/>
  <c r="H8" i="8"/>
  <c r="G8" i="8"/>
  <c r="F8" i="8"/>
  <c r="I7" i="8"/>
  <c r="H7" i="8"/>
  <c r="G7" i="8"/>
  <c r="F7" i="8"/>
  <c r="I4" i="8"/>
  <c r="H4" i="8"/>
  <c r="G4" i="8"/>
  <c r="F4" i="8"/>
  <c r="I3" i="8"/>
  <c r="H3" i="8"/>
  <c r="G3" i="8"/>
  <c r="F3" i="8"/>
  <c r="I2" i="8"/>
  <c r="H2" i="8"/>
  <c r="G2" i="8"/>
  <c r="F2" i="8"/>
  <c r="I1" i="8"/>
  <c r="H1" i="8"/>
  <c r="G1" i="8"/>
  <c r="F1" i="8"/>
  <c r="H19" i="8"/>
  <c r="G19" i="8"/>
  <c r="K65" i="2"/>
  <c r="J65" i="2"/>
  <c r="I65" i="2"/>
  <c r="H65" i="2"/>
  <c r="G65" i="2"/>
  <c r="K35" i="2"/>
  <c r="J35" i="2"/>
  <c r="I35" i="2"/>
  <c r="I38" i="2" s="1" a="1"/>
  <c r="I38" i="2" s="1"/>
  <c r="I40" i="2" s="1"/>
  <c r="H35" i="2"/>
  <c r="G35" i="2"/>
  <c r="K33" i="2"/>
  <c r="J33" i="2"/>
  <c r="J38" i="2" s="1" a="1"/>
  <c r="J38" i="2" s="1"/>
  <c r="J40" i="2" s="1"/>
  <c r="I33" i="2"/>
  <c r="H33" i="2"/>
  <c r="G33" i="2"/>
  <c r="K29" i="2"/>
  <c r="K31" i="2" s="1"/>
  <c r="J29" i="2"/>
  <c r="J31" i="2" s="1"/>
  <c r="I29" i="2"/>
  <c r="I31" i="2" s="1"/>
  <c r="I42" i="2" s="1"/>
  <c r="I14" i="8" s="1"/>
  <c r="H29" i="2"/>
  <c r="H31" i="2" s="1"/>
  <c r="G29" i="2"/>
  <c r="G31" i="2" s="1"/>
  <c r="G12" i="8" s="1"/>
  <c r="K22" i="2"/>
  <c r="J22" i="2"/>
  <c r="I22" i="2"/>
  <c r="H22" i="2"/>
  <c r="G22" i="2"/>
  <c r="K18" i="2"/>
  <c r="K19" i="2" s="1"/>
  <c r="J18" i="2"/>
  <c r="J19" i="2" s="1"/>
  <c r="I18" i="2"/>
  <c r="I19" i="2" s="1"/>
  <c r="H18" i="2"/>
  <c r="H19" i="2" s="1"/>
  <c r="G18" i="2"/>
  <c r="G19" i="2" s="1"/>
  <c r="K17" i="2"/>
  <c r="J17" i="2"/>
  <c r="I17" i="2"/>
  <c r="H17" i="2"/>
  <c r="G17" i="2"/>
  <c r="K7" i="2"/>
  <c r="K80" i="2" s="1" a="1"/>
  <c r="K80" i="2" s="1"/>
  <c r="J7" i="2"/>
  <c r="J80" i="2" s="1" a="1"/>
  <c r="J80" i="2" s="1"/>
  <c r="I7" i="2"/>
  <c r="I80" i="2" s="1" a="1"/>
  <c r="I80" i="2" s="1"/>
  <c r="H7" i="2"/>
  <c r="H80" i="2" s="1" a="1"/>
  <c r="H80" i="2" s="1"/>
  <c r="G7" i="2"/>
  <c r="G80" i="2" s="1" a="1"/>
  <c r="G80" i="2" s="1"/>
  <c r="J4" i="8"/>
  <c r="K4" i="8"/>
  <c r="E4" i="8"/>
  <c r="F33" i="2"/>
  <c r="E33" i="2"/>
  <c r="E7" i="2"/>
  <c r="E80" i="2" s="1" a="1"/>
  <c r="E80" i="2" s="1"/>
  <c r="E17" i="2"/>
  <c r="E18" i="2"/>
  <c r="E19" i="2" s="1"/>
  <c r="E22" i="2"/>
  <c r="E29" i="2"/>
  <c r="E31" i="2" s="1"/>
  <c r="E35" i="2"/>
  <c r="E65" i="2"/>
  <c r="F65" i="2"/>
  <c r="F7" i="2"/>
  <c r="F80" i="2" s="1" a="1"/>
  <c r="F80" i="2" s="1"/>
  <c r="F18" i="2"/>
  <c r="F19" i="2" s="1"/>
  <c r="J19" i="8"/>
  <c r="K19" i="8"/>
  <c r="E19" i="8"/>
  <c r="A11" i="8"/>
  <c r="E1" i="8"/>
  <c r="J1" i="8"/>
  <c r="K1" i="8"/>
  <c r="E2" i="8"/>
  <c r="J2" i="8"/>
  <c r="K2" i="8"/>
  <c r="E3" i="8"/>
  <c r="J3" i="8"/>
  <c r="K3" i="8"/>
  <c r="A6" i="8"/>
  <c r="B7" i="8"/>
  <c r="E7" i="8"/>
  <c r="J7" i="8"/>
  <c r="K7" i="8"/>
  <c r="L7" i="8"/>
  <c r="B8" i="8"/>
  <c r="E8" i="8"/>
  <c r="J8" i="8"/>
  <c r="K8" i="8"/>
  <c r="L8" i="8"/>
  <c r="B9" i="8"/>
  <c r="B12" i="8"/>
  <c r="L12" i="8"/>
  <c r="B13" i="8"/>
  <c r="L13" i="8"/>
  <c r="B14" i="8"/>
  <c r="L14" i="8"/>
  <c r="B15" i="8"/>
  <c r="B16" i="8"/>
  <c r="A18" i="8"/>
  <c r="B24" i="8"/>
  <c r="C24" i="8"/>
  <c r="L24" i="8"/>
  <c r="B25" i="8"/>
  <c r="B26" i="8"/>
  <c r="L26" i="8"/>
  <c r="B27" i="8"/>
  <c r="L27" i="8"/>
  <c r="B29" i="8"/>
  <c r="C29" i="8"/>
  <c r="L29" i="8"/>
  <c r="B30" i="8"/>
  <c r="B31" i="8"/>
  <c r="L31" i="8"/>
  <c r="B32" i="8"/>
  <c r="L32" i="8"/>
  <c r="B19" i="8"/>
  <c r="C19" i="8"/>
  <c r="C20" i="8"/>
  <c r="B22" i="8"/>
  <c r="A34" i="8"/>
  <c r="B35" i="8"/>
  <c r="L35" i="8"/>
  <c r="B36" i="8"/>
  <c r="C36" i="8"/>
  <c r="D36" i="8"/>
  <c r="L36" i="8"/>
  <c r="B37" i="8"/>
  <c r="C37" i="8"/>
  <c r="D37" i="8"/>
  <c r="L37" i="8"/>
  <c r="B38" i="8"/>
  <c r="C38" i="8"/>
  <c r="D38" i="8"/>
  <c r="L38" i="8"/>
  <c r="B39" i="8"/>
  <c r="C39" i="8"/>
  <c r="D39" i="8"/>
  <c r="L39" i="8"/>
  <c r="F35" i="2"/>
  <c r="F29" i="2"/>
  <c r="F31" i="2" s="1"/>
  <c r="F42" i="2" s="1"/>
  <c r="F14" i="8" s="1"/>
  <c r="F22" i="2"/>
  <c r="F17" i="2"/>
  <c r="J78" i="2" l="1"/>
  <c r="E78" i="2"/>
  <c r="I78" i="2"/>
  <c r="K78" i="2"/>
  <c r="F78" i="2"/>
  <c r="K98" i="2"/>
  <c r="I62" i="2" a="1"/>
  <c r="I62" i="2" s="1"/>
  <c r="I98" i="2"/>
  <c r="F62" i="2" a="1"/>
  <c r="F62" i="2" s="1"/>
  <c r="K63" i="2" a="1"/>
  <c r="K63" i="2" s="1"/>
  <c r="F98" i="2"/>
  <c r="F100" i="2" s="1"/>
  <c r="J39" i="2"/>
  <c r="J68" i="2"/>
  <c r="G36" i="2"/>
  <c r="G38" i="2" s="1" a="1"/>
  <c r="G38" i="2" s="1"/>
  <c r="F67" i="2"/>
  <c r="E67" i="2"/>
  <c r="I39" i="2"/>
  <c r="I67" i="2"/>
  <c r="I68" i="2"/>
  <c r="G68" i="2"/>
  <c r="G67" i="2"/>
  <c r="H12" i="8"/>
  <c r="H42" i="2"/>
  <c r="K67" i="2"/>
  <c r="K68" i="2"/>
  <c r="H67" i="2"/>
  <c r="F68" i="2"/>
  <c r="I12" i="8"/>
  <c r="E42" i="2"/>
  <c r="H36" i="2"/>
  <c r="H46" i="2" s="1"/>
  <c r="E68" i="2"/>
  <c r="J42" i="2"/>
  <c r="F12" i="8"/>
  <c r="G42" i="2"/>
  <c r="J15" i="8"/>
  <c r="J14" i="8"/>
  <c r="J21" i="2"/>
  <c r="I36" i="2"/>
  <c r="I13" i="8" s="1"/>
  <c r="H21" i="2"/>
  <c r="K21" i="2"/>
  <c r="J36" i="2"/>
  <c r="J46" i="2" s="1"/>
  <c r="K36" i="2"/>
  <c r="K12" i="8"/>
  <c r="K48" i="2"/>
  <c r="K57" i="2" s="1"/>
  <c r="G21" i="2"/>
  <c r="G78" i="2"/>
  <c r="I21" i="2"/>
  <c r="H78" i="2"/>
  <c r="E21" i="2"/>
  <c r="E24" i="2" s="1"/>
  <c r="F21" i="2"/>
  <c r="E36" i="2"/>
  <c r="J12" i="8"/>
  <c r="F36" i="2"/>
  <c r="F51" i="2"/>
  <c r="F79" i="2" s="1"/>
  <c r="F77" i="2" s="1"/>
  <c r="F48" i="2"/>
  <c r="F57" i="2" s="1"/>
  <c r="K14" i="8"/>
  <c r="B8" i="6"/>
  <c r="G15" i="6" s="1"/>
  <c r="B9" i="6"/>
  <c r="E4" i="6"/>
  <c r="F4" i="6" s="1"/>
  <c r="C101" i="2"/>
  <c r="B8" i="5"/>
  <c r="H8" i="5" s="1"/>
  <c r="F5" i="5"/>
  <c r="G5" i="5" s="1"/>
  <c r="G39" i="2" l="1"/>
  <c r="G40" i="2"/>
  <c r="K35" i="8"/>
  <c r="K100" i="2"/>
  <c r="I35" i="8"/>
  <c r="I100" i="2"/>
  <c r="I36" i="8" s="1"/>
  <c r="G98" i="2"/>
  <c r="G62" i="2" a="1"/>
  <c r="G62" i="2" s="1"/>
  <c r="G63" i="2" s="1" a="1"/>
  <c r="G63" i="2" s="1"/>
  <c r="J48" i="2"/>
  <c r="J57" i="2" s="1"/>
  <c r="J98" i="2"/>
  <c r="J62" i="2" a="1"/>
  <c r="J62" i="2" s="1"/>
  <c r="H14" i="8"/>
  <c r="H98" i="2"/>
  <c r="H62" i="2" a="1"/>
  <c r="H62" i="2" s="1"/>
  <c r="H63" i="2" s="1" a="1"/>
  <c r="H63" i="2" s="1"/>
  <c r="E38" i="2" a="1"/>
  <c r="E38" i="2" s="1"/>
  <c r="E62" i="2" a="1"/>
  <c r="E62" i="2" s="1"/>
  <c r="E98" i="2"/>
  <c r="E100" i="2" s="1"/>
  <c r="G46" i="2"/>
  <c r="G13" i="8"/>
  <c r="H45" i="2"/>
  <c r="H16" i="8" s="1"/>
  <c r="H51" i="2"/>
  <c r="G14" i="8"/>
  <c r="I47" i="2"/>
  <c r="H48" i="2"/>
  <c r="H57" i="2" s="1"/>
  <c r="F13" i="8"/>
  <c r="F38" i="2" a="1"/>
  <c r="F38" i="2" s="1"/>
  <c r="I46" i="2"/>
  <c r="H38" i="2" a="1"/>
  <c r="H38" i="2" s="1"/>
  <c r="H13" i="8"/>
  <c r="J35" i="8"/>
  <c r="F35" i="8"/>
  <c r="H47" i="2"/>
  <c r="K47" i="2"/>
  <c r="J47" i="2"/>
  <c r="J24" i="2"/>
  <c r="J66" i="2" s="1"/>
  <c r="J70" i="2" s="1"/>
  <c r="G24" i="2"/>
  <c r="H24" i="2"/>
  <c r="K24" i="2"/>
  <c r="K91" i="2" s="1"/>
  <c r="K92" i="2" s="1"/>
  <c r="I48" i="2"/>
  <c r="I57" i="2" s="1"/>
  <c r="K46" i="2"/>
  <c r="I24" i="2"/>
  <c r="I9" i="8" s="1"/>
  <c r="G51" i="2"/>
  <c r="G45" i="2"/>
  <c r="G16" i="8" s="1"/>
  <c r="G47" i="2"/>
  <c r="K104" i="2"/>
  <c r="K39" i="8" s="1"/>
  <c r="G48" i="2"/>
  <c r="G57" i="2" s="1"/>
  <c r="I104" i="2"/>
  <c r="I39" i="8" s="1"/>
  <c r="J51" i="2"/>
  <c r="J45" i="2"/>
  <c r="I45" i="2"/>
  <c r="I16" i="8" s="1"/>
  <c r="I51" i="2"/>
  <c r="K45" i="2"/>
  <c r="K16" i="8" s="1"/>
  <c r="K51" i="2"/>
  <c r="E46" i="2"/>
  <c r="E47" i="2"/>
  <c r="F24" i="2"/>
  <c r="F55" i="2"/>
  <c r="E45" i="2"/>
  <c r="E51" i="2"/>
  <c r="E79" i="2" s="1"/>
  <c r="E77" i="2" s="1"/>
  <c r="E48" i="2"/>
  <c r="E57" i="2" s="1"/>
  <c r="E26" i="2"/>
  <c r="E91" i="2"/>
  <c r="E92" i="2" s="1"/>
  <c r="E66" i="2"/>
  <c r="K13" i="8"/>
  <c r="J13" i="8"/>
  <c r="E13" i="8"/>
  <c r="F46" i="2"/>
  <c r="F47" i="2"/>
  <c r="F45" i="2"/>
  <c r="F104" i="2"/>
  <c r="G38" i="6"/>
  <c r="G30" i="6"/>
  <c r="G22" i="6"/>
  <c r="G14" i="6"/>
  <c r="G4" i="6"/>
  <c r="G37" i="6"/>
  <c r="G29" i="6"/>
  <c r="G21" i="6"/>
  <c r="G13" i="6"/>
  <c r="G7" i="6"/>
  <c r="G20" i="6"/>
  <c r="G35" i="6"/>
  <c r="G11" i="6"/>
  <c r="G5" i="6"/>
  <c r="G34" i="6"/>
  <c r="G26" i="6"/>
  <c r="G18" i="6"/>
  <c r="G10" i="6"/>
  <c r="G28" i="6"/>
  <c r="G6" i="6"/>
  <c r="G19" i="6"/>
  <c r="G41" i="6"/>
  <c r="G33" i="6"/>
  <c r="G25" i="6"/>
  <c r="G17" i="6"/>
  <c r="G9" i="6"/>
  <c r="G36" i="6"/>
  <c r="G12" i="6"/>
  <c r="G27" i="6"/>
  <c r="G40" i="6"/>
  <c r="G32" i="6"/>
  <c r="G24" i="6"/>
  <c r="G16" i="6"/>
  <c r="G8" i="6"/>
  <c r="G39" i="6"/>
  <c r="G31" i="6"/>
  <c r="G23" i="6"/>
  <c r="E5" i="6"/>
  <c r="F5" i="6" s="1"/>
  <c r="H22" i="5"/>
  <c r="H23" i="5"/>
  <c r="H15" i="5"/>
  <c r="H14" i="5"/>
  <c r="H7" i="5"/>
  <c r="H6" i="5"/>
  <c r="H21" i="5"/>
  <c r="H13" i="5"/>
  <c r="H20" i="5"/>
  <c r="H12" i="5"/>
  <c r="H5" i="5"/>
  <c r="F6" i="5" s="1"/>
  <c r="G6" i="5" s="1"/>
  <c r="H17" i="5"/>
  <c r="H9" i="5"/>
  <c r="H19" i="5"/>
  <c r="H11" i="5"/>
  <c r="H18" i="5"/>
  <c r="H10" i="5"/>
  <c r="H24" i="5"/>
  <c r="H16" i="5"/>
  <c r="E39" i="2" l="1"/>
  <c r="E40" i="2"/>
  <c r="F39" i="2"/>
  <c r="F40" i="2"/>
  <c r="H39" i="2"/>
  <c r="H40" i="2"/>
  <c r="G35" i="8"/>
  <c r="G100" i="2"/>
  <c r="G36" i="8" s="1"/>
  <c r="J104" i="2"/>
  <c r="J100" i="2"/>
  <c r="J101" i="2" s="1"/>
  <c r="J102" i="2" s="1"/>
  <c r="E104" i="2"/>
  <c r="H35" i="8"/>
  <c r="H100" i="2"/>
  <c r="H36" i="8" s="1"/>
  <c r="G104" i="2"/>
  <c r="G39" i="8" s="1"/>
  <c r="J55" i="2"/>
  <c r="J79" i="2"/>
  <c r="J77" i="2" s="1"/>
  <c r="H55" i="2"/>
  <c r="H79" i="2"/>
  <c r="H77" i="2" s="1"/>
  <c r="K55" i="2"/>
  <c r="K79" i="2"/>
  <c r="K77" i="2" s="1"/>
  <c r="I55" i="2"/>
  <c r="I79" i="2"/>
  <c r="I77" i="2" s="1"/>
  <c r="G55" i="2"/>
  <c r="G79" i="2"/>
  <c r="G77" i="2" s="1"/>
  <c r="H104" i="2"/>
  <c r="H39" i="8" s="1"/>
  <c r="J39" i="8"/>
  <c r="F39" i="8"/>
  <c r="J9" i="8"/>
  <c r="F9" i="8"/>
  <c r="J36" i="8"/>
  <c r="F36" i="8"/>
  <c r="H26" i="2"/>
  <c r="H22" i="8" s="1"/>
  <c r="H9" i="8"/>
  <c r="J16" i="8"/>
  <c r="F16" i="8"/>
  <c r="G91" i="2"/>
  <c r="G92" i="2" s="1"/>
  <c r="G9" i="8"/>
  <c r="H66" i="2"/>
  <c r="H70" i="2" s="1"/>
  <c r="G66" i="2"/>
  <c r="G70" i="2" s="1"/>
  <c r="G26" i="2"/>
  <c r="G22" i="8" s="1"/>
  <c r="K66" i="2"/>
  <c r="K70" i="2" s="1"/>
  <c r="K9" i="8"/>
  <c r="K26" i="2"/>
  <c r="K22" i="8" s="1"/>
  <c r="H91" i="2"/>
  <c r="H92" i="2" s="1"/>
  <c r="J91" i="2"/>
  <c r="J92" i="2" s="1"/>
  <c r="J26" i="2"/>
  <c r="K103" i="2"/>
  <c r="K38" i="8" s="1"/>
  <c r="K101" i="2"/>
  <c r="K102" i="2" s="1"/>
  <c r="K37" i="8" s="1"/>
  <c r="K36" i="8"/>
  <c r="I101" i="2"/>
  <c r="I102" i="2" s="1"/>
  <c r="I37" i="8" s="1"/>
  <c r="I103" i="2"/>
  <c r="I38" i="8" s="1"/>
  <c r="I26" i="2"/>
  <c r="I22" i="8" s="1"/>
  <c r="I91" i="2"/>
  <c r="I92" i="2" s="1"/>
  <c r="I66" i="2"/>
  <c r="I70" i="2" s="1"/>
  <c r="E70" i="2"/>
  <c r="F66" i="2"/>
  <c r="F70" i="2" s="1"/>
  <c r="F26" i="2"/>
  <c r="E55" i="2"/>
  <c r="F91" i="2"/>
  <c r="F92" i="2" s="1"/>
  <c r="E101" i="2"/>
  <c r="E102" i="2" s="1"/>
  <c r="E103" i="2"/>
  <c r="F101" i="2"/>
  <c r="F102" i="2" s="1"/>
  <c r="F103" i="2"/>
  <c r="E6" i="6"/>
  <c r="F6" i="6" s="1"/>
  <c r="F7" i="5"/>
  <c r="G7" i="5" s="1"/>
  <c r="G103" i="2" l="1"/>
  <c r="G38" i="8" s="1"/>
  <c r="H103" i="2"/>
  <c r="H38" i="8" s="1"/>
  <c r="G101" i="2"/>
  <c r="G102" i="2" s="1"/>
  <c r="G37" i="8" s="1"/>
  <c r="J103" i="2"/>
  <c r="H101" i="2"/>
  <c r="H102" i="2" s="1"/>
  <c r="H37" i="8" s="1"/>
  <c r="J22" i="8"/>
  <c r="F22" i="8"/>
  <c r="J37" i="8"/>
  <c r="F37" i="8"/>
  <c r="J38" i="8"/>
  <c r="F38" i="8"/>
  <c r="E7" i="6"/>
  <c r="F8" i="5"/>
  <c r="G8" i="5" s="1"/>
  <c r="F7" i="6" l="1"/>
  <c r="E8" i="6" s="1"/>
  <c r="F9" i="5"/>
  <c r="G9" i="5" s="1"/>
  <c r="F8" i="6" l="1"/>
  <c r="E9" i="6" s="1"/>
  <c r="F10" i="5"/>
  <c r="G10" i="5" s="1"/>
  <c r="F9" i="6" l="1"/>
  <c r="E10" i="6" s="1"/>
  <c r="F10" i="6" s="1"/>
  <c r="E11" i="6" s="1"/>
  <c r="F11" i="5"/>
  <c r="G11" i="5" s="1"/>
  <c r="F11" i="6" l="1"/>
  <c r="E12" i="6" s="1"/>
  <c r="F12" i="6" s="1"/>
  <c r="E13" i="6" s="1"/>
  <c r="F13" i="6" s="1"/>
  <c r="E14" i="6" s="1"/>
  <c r="F12" i="5"/>
  <c r="G12" i="5" s="1"/>
  <c r="F14" i="6" l="1"/>
  <c r="E15" i="6" s="1"/>
  <c r="F15" i="6" s="1"/>
  <c r="E16" i="6" s="1"/>
  <c r="F13" i="5"/>
  <c r="G13" i="5" s="1"/>
  <c r="F16" i="6" l="1"/>
  <c r="E17" i="6" s="1"/>
  <c r="F14" i="5"/>
  <c r="G14" i="5" s="1"/>
  <c r="F17" i="6" l="1"/>
  <c r="E18" i="6" s="1"/>
  <c r="F15" i="5"/>
  <c r="G15" i="5" s="1"/>
  <c r="F18" i="6" l="1"/>
  <c r="E19" i="6" s="1"/>
  <c r="F16" i="5"/>
  <c r="G16" i="5" s="1"/>
  <c r="F19" i="6" l="1"/>
  <c r="E20" i="6"/>
  <c r="F17" i="5"/>
  <c r="G17" i="5" s="1"/>
  <c r="F20" i="6" l="1"/>
  <c r="E21" i="6" s="1"/>
  <c r="F18" i="5"/>
  <c r="G18" i="5" s="1"/>
  <c r="F21" i="6" l="1"/>
  <c r="E22" i="6" s="1"/>
  <c r="F19" i="5"/>
  <c r="G19" i="5" s="1"/>
  <c r="F22" i="6" l="1"/>
  <c r="E23" i="6" s="1"/>
  <c r="F20" i="5"/>
  <c r="G20" i="5" s="1"/>
  <c r="F23" i="6" l="1"/>
  <c r="E24" i="6" s="1"/>
  <c r="F21" i="5"/>
  <c r="G21" i="5" s="1"/>
  <c r="F24" i="6" l="1"/>
  <c r="E25" i="6" s="1"/>
  <c r="F22" i="5"/>
  <c r="G22" i="5" s="1"/>
  <c r="F25" i="6" l="1"/>
  <c r="E26" i="6" s="1"/>
  <c r="F23" i="5"/>
  <c r="G23" i="5" s="1"/>
  <c r="D6" i="4"/>
  <c r="C6" i="4"/>
  <c r="B6" i="4"/>
  <c r="D5" i="4"/>
  <c r="C5" i="4"/>
  <c r="B5" i="4"/>
  <c r="C8" i="4"/>
  <c r="A12" i="4" l="1"/>
  <c r="C9" i="4"/>
  <c r="F26" i="6"/>
  <c r="E27" i="6" s="1"/>
  <c r="F24" i="5"/>
  <c r="G24" i="5" s="1"/>
  <c r="F27" i="6" l="1"/>
  <c r="E28" i="6" s="1"/>
  <c r="F25" i="5"/>
  <c r="C14" i="4"/>
  <c r="D14" i="4"/>
  <c r="B14" i="4"/>
  <c r="B13" i="4"/>
  <c r="D13" i="4"/>
  <c r="C13" i="4"/>
  <c r="E12" i="8" l="1"/>
  <c r="F28" i="6"/>
  <c r="E29" i="6" s="1"/>
  <c r="E35" i="8"/>
  <c r="E14" i="8"/>
  <c r="B20" i="4"/>
  <c r="C20" i="4"/>
  <c r="D20" i="4"/>
  <c r="B21" i="4"/>
  <c r="C21" i="4"/>
  <c r="D21" i="4"/>
  <c r="B22" i="4"/>
  <c r="C22" i="4"/>
  <c r="D22" i="4"/>
  <c r="B23" i="4"/>
  <c r="C23" i="4"/>
  <c r="D23" i="4"/>
  <c r="G23" i="4" s="1"/>
  <c r="B24" i="4"/>
  <c r="C24" i="4"/>
  <c r="D24" i="4"/>
  <c r="B25" i="4"/>
  <c r="C25" i="4"/>
  <c r="D25" i="4"/>
  <c r="B26" i="4"/>
  <c r="C26" i="4"/>
  <c r="D26" i="4"/>
  <c r="B27" i="4"/>
  <c r="C27" i="4"/>
  <c r="D27" i="4"/>
  <c r="B28" i="4"/>
  <c r="C28" i="4"/>
  <c r="D28" i="4"/>
  <c r="B29" i="4"/>
  <c r="C29" i="4"/>
  <c r="D29" i="4"/>
  <c r="B30" i="4"/>
  <c r="C30" i="4"/>
  <c r="D30" i="4"/>
  <c r="B31" i="4"/>
  <c r="C31" i="4"/>
  <c r="D31" i="4"/>
  <c r="G31" i="4" s="1"/>
  <c r="B32" i="4"/>
  <c r="C32" i="4"/>
  <c r="D32" i="4"/>
  <c r="B33" i="4"/>
  <c r="C33" i="4"/>
  <c r="D33" i="4"/>
  <c r="B34" i="4"/>
  <c r="C34" i="4"/>
  <c r="D34" i="4"/>
  <c r="B35" i="4"/>
  <c r="C35" i="4"/>
  <c r="D35" i="4"/>
  <c r="B36" i="4"/>
  <c r="C36" i="4"/>
  <c r="D36" i="4"/>
  <c r="B37" i="4"/>
  <c r="C37" i="4"/>
  <c r="D37" i="4"/>
  <c r="B38" i="4"/>
  <c r="C38" i="4"/>
  <c r="D38" i="4"/>
  <c r="B39" i="4"/>
  <c r="C39" i="4"/>
  <c r="D39" i="4"/>
  <c r="G39" i="4" s="1"/>
  <c r="B40" i="4"/>
  <c r="C40" i="4"/>
  <c r="D40" i="4"/>
  <c r="B41" i="4"/>
  <c r="C41" i="4"/>
  <c r="D41" i="4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D46" i="4"/>
  <c r="B47" i="4"/>
  <c r="C47" i="4"/>
  <c r="D47" i="4"/>
  <c r="G47" i="4" s="1"/>
  <c r="B48" i="4"/>
  <c r="C48" i="4"/>
  <c r="D48" i="4"/>
  <c r="B49" i="4"/>
  <c r="C49" i="4"/>
  <c r="D49" i="4"/>
  <c r="B50" i="4"/>
  <c r="C50" i="4"/>
  <c r="D50" i="4"/>
  <c r="B51" i="4"/>
  <c r="C51" i="4"/>
  <c r="D51" i="4"/>
  <c r="B52" i="4"/>
  <c r="C52" i="4"/>
  <c r="D52" i="4"/>
  <c r="B53" i="4"/>
  <c r="C53" i="4"/>
  <c r="D53" i="4"/>
  <c r="B54" i="4"/>
  <c r="C54" i="4"/>
  <c r="D54" i="4"/>
  <c r="B55" i="4"/>
  <c r="C55" i="4"/>
  <c r="D55" i="4"/>
  <c r="G55" i="4" s="1"/>
  <c r="B56" i="4"/>
  <c r="C56" i="4"/>
  <c r="D56" i="4"/>
  <c r="B57" i="4"/>
  <c r="C57" i="4"/>
  <c r="D57" i="4"/>
  <c r="B58" i="4"/>
  <c r="C58" i="4"/>
  <c r="D58" i="4"/>
  <c r="B59" i="4"/>
  <c r="C59" i="4"/>
  <c r="D59" i="4"/>
  <c r="B60" i="4"/>
  <c r="C60" i="4"/>
  <c r="D60" i="4"/>
  <c r="B61" i="4"/>
  <c r="C61" i="4"/>
  <c r="D61" i="4"/>
  <c r="B62" i="4"/>
  <c r="C62" i="4"/>
  <c r="D62" i="4"/>
  <c r="B63" i="4"/>
  <c r="C63" i="4"/>
  <c r="D63" i="4"/>
  <c r="G63" i="4" s="1"/>
  <c r="B64" i="4"/>
  <c r="C64" i="4"/>
  <c r="D64" i="4"/>
  <c r="B65" i="4"/>
  <c r="C65" i="4"/>
  <c r="D65" i="4"/>
  <c r="B66" i="4"/>
  <c r="C66" i="4"/>
  <c r="D66" i="4"/>
  <c r="B67" i="4"/>
  <c r="C67" i="4"/>
  <c r="D67" i="4"/>
  <c r="B68" i="4"/>
  <c r="C68" i="4"/>
  <c r="D68" i="4"/>
  <c r="B69" i="4"/>
  <c r="C69" i="4"/>
  <c r="D69" i="4"/>
  <c r="B70" i="4"/>
  <c r="C70" i="4"/>
  <c r="D70" i="4"/>
  <c r="B71" i="4"/>
  <c r="C71" i="4"/>
  <c r="D71" i="4"/>
  <c r="G71" i="4" s="1"/>
  <c r="B72" i="4"/>
  <c r="C72" i="4"/>
  <c r="D72" i="4"/>
  <c r="B73" i="4"/>
  <c r="C73" i="4"/>
  <c r="D73" i="4"/>
  <c r="B74" i="4"/>
  <c r="C74" i="4"/>
  <c r="D74" i="4"/>
  <c r="B75" i="4"/>
  <c r="C75" i="4"/>
  <c r="D75" i="4"/>
  <c r="B76" i="4"/>
  <c r="C76" i="4"/>
  <c r="D76" i="4"/>
  <c r="B77" i="4"/>
  <c r="C77" i="4"/>
  <c r="D77" i="4"/>
  <c r="B78" i="4"/>
  <c r="C78" i="4"/>
  <c r="D78" i="4"/>
  <c r="B79" i="4"/>
  <c r="C79" i="4"/>
  <c r="D79" i="4"/>
  <c r="G79" i="4" s="1"/>
  <c r="B80" i="4"/>
  <c r="C80" i="4"/>
  <c r="D80" i="4"/>
  <c r="B81" i="4"/>
  <c r="C81" i="4"/>
  <c r="D81" i="4"/>
  <c r="B82" i="4"/>
  <c r="C82" i="4"/>
  <c r="D82" i="4"/>
  <c r="B83" i="4"/>
  <c r="C83" i="4"/>
  <c r="D83" i="4"/>
  <c r="B84" i="4"/>
  <c r="C84" i="4"/>
  <c r="D84" i="4"/>
  <c r="B85" i="4"/>
  <c r="C85" i="4"/>
  <c r="D85" i="4"/>
  <c r="B86" i="4"/>
  <c r="C86" i="4"/>
  <c r="D86" i="4"/>
  <c r="B87" i="4"/>
  <c r="C87" i="4"/>
  <c r="D87" i="4"/>
  <c r="G87" i="4" s="1"/>
  <c r="B88" i="4"/>
  <c r="C88" i="4"/>
  <c r="D88" i="4"/>
  <c r="B89" i="4"/>
  <c r="C89" i="4"/>
  <c r="D89" i="4"/>
  <c r="B90" i="4"/>
  <c r="C90" i="4"/>
  <c r="D90" i="4"/>
  <c r="B91" i="4"/>
  <c r="C91" i="4"/>
  <c r="D91" i="4"/>
  <c r="B92" i="4"/>
  <c r="C92" i="4"/>
  <c r="D92" i="4"/>
  <c r="B93" i="4"/>
  <c r="C93" i="4"/>
  <c r="D93" i="4"/>
  <c r="B94" i="4"/>
  <c r="C94" i="4"/>
  <c r="D94" i="4"/>
  <c r="B95" i="4"/>
  <c r="C95" i="4"/>
  <c r="D95" i="4"/>
  <c r="G95" i="4" s="1"/>
  <c r="B96" i="4"/>
  <c r="C96" i="4"/>
  <c r="D96" i="4"/>
  <c r="B97" i="4"/>
  <c r="C97" i="4"/>
  <c r="D97" i="4"/>
  <c r="B98" i="4"/>
  <c r="C98" i="4"/>
  <c r="D98" i="4"/>
  <c r="B99" i="4"/>
  <c r="C99" i="4"/>
  <c r="D99" i="4"/>
  <c r="B100" i="4"/>
  <c r="C100" i="4"/>
  <c r="D100" i="4"/>
  <c r="B101" i="4"/>
  <c r="C101" i="4"/>
  <c r="D101" i="4"/>
  <c r="B102" i="4"/>
  <c r="C102" i="4"/>
  <c r="D102" i="4"/>
  <c r="B103" i="4"/>
  <c r="C103" i="4"/>
  <c r="D103" i="4"/>
  <c r="G103" i="4" s="1"/>
  <c r="B104" i="4"/>
  <c r="C104" i="4"/>
  <c r="D104" i="4"/>
  <c r="B105" i="4"/>
  <c r="C105" i="4"/>
  <c r="D105" i="4"/>
  <c r="B106" i="4"/>
  <c r="C106" i="4"/>
  <c r="D106" i="4"/>
  <c r="B107" i="4"/>
  <c r="C107" i="4"/>
  <c r="D107" i="4"/>
  <c r="B108" i="4"/>
  <c r="C108" i="4"/>
  <c r="D108" i="4"/>
  <c r="B109" i="4"/>
  <c r="C109" i="4"/>
  <c r="D109" i="4"/>
  <c r="B110" i="4"/>
  <c r="C110" i="4"/>
  <c r="D110" i="4"/>
  <c r="B111" i="4"/>
  <c r="C111" i="4"/>
  <c r="D111" i="4"/>
  <c r="G111" i="4" s="1"/>
  <c r="B112" i="4"/>
  <c r="C112" i="4"/>
  <c r="D112" i="4"/>
  <c r="B113" i="4"/>
  <c r="C113" i="4"/>
  <c r="D113" i="4"/>
  <c r="B114" i="4"/>
  <c r="C114" i="4"/>
  <c r="D114" i="4"/>
  <c r="B115" i="4"/>
  <c r="C115" i="4"/>
  <c r="D115" i="4"/>
  <c r="B116" i="4"/>
  <c r="C116" i="4"/>
  <c r="D116" i="4"/>
  <c r="B117" i="4"/>
  <c r="C117" i="4"/>
  <c r="D117" i="4"/>
  <c r="B118" i="4"/>
  <c r="C118" i="4"/>
  <c r="D118" i="4"/>
  <c r="D19" i="4"/>
  <c r="C19" i="4"/>
  <c r="B19" i="4"/>
  <c r="F19" i="4" s="1"/>
  <c r="C17" i="4"/>
  <c r="D17" i="4"/>
  <c r="B17" i="4"/>
  <c r="E22" i="8" l="1"/>
  <c r="E9" i="8"/>
  <c r="E16" i="8"/>
  <c r="F29" i="6"/>
  <c r="E30" i="6" s="1"/>
  <c r="E39" i="8"/>
  <c r="E36" i="8"/>
  <c r="F89" i="4"/>
  <c r="F57" i="4"/>
  <c r="F49" i="4"/>
  <c r="F33" i="4"/>
  <c r="F25" i="4"/>
  <c r="F105" i="4"/>
  <c r="F97" i="4"/>
  <c r="F65" i="4"/>
  <c r="F41" i="4"/>
  <c r="F113" i="4"/>
  <c r="F73" i="4"/>
  <c r="F81" i="4"/>
  <c r="G117" i="4"/>
  <c r="G93" i="4"/>
  <c r="G69" i="4"/>
  <c r="G45" i="4"/>
  <c r="G21" i="4"/>
  <c r="G109" i="4"/>
  <c r="G77" i="4"/>
  <c r="G53" i="4"/>
  <c r="G37" i="4"/>
  <c r="G101" i="4"/>
  <c r="G85" i="4"/>
  <c r="G61" i="4"/>
  <c r="G29" i="4"/>
  <c r="G78" i="4"/>
  <c r="G110" i="4"/>
  <c r="F118" i="4"/>
  <c r="F102" i="4"/>
  <c r="F94" i="4"/>
  <c r="F86" i="4"/>
  <c r="F70" i="4"/>
  <c r="F62" i="4"/>
  <c r="F46" i="4"/>
  <c r="F30" i="4"/>
  <c r="F22" i="4"/>
  <c r="G113" i="4"/>
  <c r="K58" i="2" s="1"/>
  <c r="G81" i="4"/>
  <c r="G49" i="4"/>
  <c r="F117" i="4"/>
  <c r="G115" i="4"/>
  <c r="F109" i="4"/>
  <c r="G107" i="4"/>
  <c r="F101" i="4"/>
  <c r="G99" i="4"/>
  <c r="F93" i="4"/>
  <c r="F91" i="4"/>
  <c r="F85" i="4"/>
  <c r="G83" i="4"/>
  <c r="F77" i="4"/>
  <c r="G75" i="4"/>
  <c r="F69" i="4"/>
  <c r="G67" i="4"/>
  <c r="F61" i="4"/>
  <c r="G59" i="4"/>
  <c r="F53" i="4"/>
  <c r="F51" i="4"/>
  <c r="F45" i="4"/>
  <c r="G43" i="4"/>
  <c r="F37" i="4"/>
  <c r="G35" i="4"/>
  <c r="F29" i="4"/>
  <c r="G27" i="4"/>
  <c r="F21" i="4"/>
  <c r="G46" i="4"/>
  <c r="F110" i="4"/>
  <c r="F78" i="4"/>
  <c r="E58" i="2" s="1"/>
  <c r="F54" i="4"/>
  <c r="F38" i="4"/>
  <c r="F112" i="4"/>
  <c r="F104" i="4"/>
  <c r="F96" i="4"/>
  <c r="F88" i="4"/>
  <c r="F80" i="4"/>
  <c r="F72" i="4"/>
  <c r="F64" i="4"/>
  <c r="F56" i="4"/>
  <c r="F48" i="4"/>
  <c r="F40" i="4"/>
  <c r="F32" i="4"/>
  <c r="F24" i="4"/>
  <c r="G105" i="4"/>
  <c r="G73" i="4"/>
  <c r="G41" i="4"/>
  <c r="G102" i="4"/>
  <c r="G70" i="4"/>
  <c r="G38" i="4"/>
  <c r="F116" i="4"/>
  <c r="G114" i="4"/>
  <c r="F108" i="4"/>
  <c r="G106" i="4"/>
  <c r="F100" i="4"/>
  <c r="G98" i="4"/>
  <c r="F92" i="4"/>
  <c r="G90" i="4"/>
  <c r="F84" i="4"/>
  <c r="G82" i="4"/>
  <c r="F76" i="4"/>
  <c r="G74" i="4"/>
  <c r="F68" i="4"/>
  <c r="G66" i="4"/>
  <c r="F60" i="4"/>
  <c r="G58" i="4"/>
  <c r="F52" i="4"/>
  <c r="G50" i="4"/>
  <c r="F44" i="4"/>
  <c r="G42" i="4"/>
  <c r="F36" i="4"/>
  <c r="G34" i="4"/>
  <c r="F28" i="4"/>
  <c r="G26" i="4"/>
  <c r="F20" i="4"/>
  <c r="G97" i="4"/>
  <c r="G65" i="4"/>
  <c r="G33" i="4"/>
  <c r="G94" i="4"/>
  <c r="G62" i="4"/>
  <c r="G30" i="4"/>
  <c r="F111" i="4"/>
  <c r="F103" i="4"/>
  <c r="F95" i="4"/>
  <c r="F87" i="4"/>
  <c r="F79" i="4"/>
  <c r="F71" i="4"/>
  <c r="F63" i="4"/>
  <c r="F55" i="4"/>
  <c r="F47" i="4"/>
  <c r="F39" i="4"/>
  <c r="F31" i="4"/>
  <c r="F23" i="4"/>
  <c r="G116" i="4"/>
  <c r="G108" i="4"/>
  <c r="G100" i="4"/>
  <c r="G92" i="4"/>
  <c r="G84" i="4"/>
  <c r="G76" i="4"/>
  <c r="G68" i="4"/>
  <c r="G60" i="4"/>
  <c r="G52" i="4"/>
  <c r="G44" i="4"/>
  <c r="G36" i="4"/>
  <c r="G28" i="4"/>
  <c r="G20" i="4"/>
  <c r="G89" i="4"/>
  <c r="G57" i="4"/>
  <c r="G25" i="4"/>
  <c r="G118" i="4"/>
  <c r="G86" i="4"/>
  <c r="G54" i="4"/>
  <c r="G22" i="4"/>
  <c r="G112" i="4"/>
  <c r="G104" i="4"/>
  <c r="G96" i="4"/>
  <c r="G88" i="4"/>
  <c r="G80" i="4"/>
  <c r="G72" i="4"/>
  <c r="G64" i="4"/>
  <c r="G56" i="4"/>
  <c r="G48" i="4"/>
  <c r="G40" i="4"/>
  <c r="G32" i="4"/>
  <c r="G24" i="4"/>
  <c r="F107" i="4"/>
  <c r="F75" i="4"/>
  <c r="F43" i="4"/>
  <c r="G19" i="4"/>
  <c r="F106" i="4"/>
  <c r="F82" i="4"/>
  <c r="F66" i="4"/>
  <c r="F58" i="4"/>
  <c r="F26" i="4"/>
  <c r="F99" i="4"/>
  <c r="F67" i="4"/>
  <c r="F35" i="4"/>
  <c r="F90" i="4"/>
  <c r="F42" i="4"/>
  <c r="F115" i="4"/>
  <c r="F83" i="4"/>
  <c r="F59" i="4"/>
  <c r="F27" i="4"/>
  <c r="F114" i="4"/>
  <c r="F74" i="4"/>
  <c r="F34" i="4"/>
  <c r="G91" i="4"/>
  <c r="G51" i="4"/>
  <c r="F98" i="4"/>
  <c r="F50" i="4"/>
  <c r="J58" i="2" l="1"/>
  <c r="J60" i="2" s="1"/>
  <c r="J72" i="2" s="1"/>
  <c r="J82" i="2" s="1"/>
  <c r="F58" i="2"/>
  <c r="F60" i="2" s="1"/>
  <c r="F72" i="2" s="1"/>
  <c r="F82" i="2" s="1"/>
  <c r="G58" i="2"/>
  <c r="G60" i="2" s="1"/>
  <c r="G72" i="2" s="1"/>
  <c r="H58" i="2"/>
  <c r="H60" i="2" s="1"/>
  <c r="H72" i="2" s="1"/>
  <c r="I58" i="2"/>
  <c r="I60" i="2" s="1"/>
  <c r="I72" i="2" s="1"/>
  <c r="K60" i="2"/>
  <c r="K72" i="2" s="1"/>
  <c r="K82" i="2" s="1"/>
  <c r="E60" i="2"/>
  <c r="F30" i="6"/>
  <c r="E31" i="6" s="1"/>
  <c r="E38" i="8"/>
  <c r="E37" i="8"/>
  <c r="H29" i="8" l="1"/>
  <c r="H82" i="2"/>
  <c r="H24" i="8" s="1"/>
  <c r="I29" i="8"/>
  <c r="I82" i="2"/>
  <c r="I24" i="8" s="1"/>
  <c r="G29" i="8"/>
  <c r="G82" i="2"/>
  <c r="G24" i="8" s="1"/>
  <c r="F24" i="8"/>
  <c r="F29" i="8"/>
  <c r="G74" i="2"/>
  <c r="G73" i="2"/>
  <c r="G30" i="8" s="1"/>
  <c r="H74" i="2"/>
  <c r="H73" i="2"/>
  <c r="H30" i="8" s="1"/>
  <c r="I73" i="2"/>
  <c r="I30" i="8" s="1"/>
  <c r="I74" i="2"/>
  <c r="J74" i="2"/>
  <c r="J75" i="2" s="1"/>
  <c r="J95" i="2" s="1"/>
  <c r="J73" i="2"/>
  <c r="K73" i="2"/>
  <c r="K74" i="2"/>
  <c r="K75" i="2" s="1"/>
  <c r="K95" i="2" s="1"/>
  <c r="F73" i="2"/>
  <c r="F30" i="8" s="1"/>
  <c r="F31" i="6"/>
  <c r="E32" i="6" s="1"/>
  <c r="F83" i="2" l="1"/>
  <c r="F25" i="8" s="1"/>
  <c r="I75" i="2"/>
  <c r="I31" i="8"/>
  <c r="H75" i="2"/>
  <c r="H31" i="8"/>
  <c r="G75" i="2"/>
  <c r="G31" i="8"/>
  <c r="J83" i="2"/>
  <c r="J84" i="2"/>
  <c r="J85" i="2" s="1"/>
  <c r="J94" i="2" s="1"/>
  <c r="I83" i="2"/>
  <c r="I25" i="8" s="1"/>
  <c r="I84" i="2"/>
  <c r="K83" i="2"/>
  <c r="K25" i="8" s="1"/>
  <c r="K84" i="2"/>
  <c r="K85" i="2" s="1"/>
  <c r="K94" i="2" s="1"/>
  <c r="H83" i="2"/>
  <c r="H25" i="8" s="1"/>
  <c r="H84" i="2"/>
  <c r="G83" i="2"/>
  <c r="G25" i="8" s="1"/>
  <c r="G84" i="2"/>
  <c r="J24" i="8"/>
  <c r="K24" i="8"/>
  <c r="K29" i="8"/>
  <c r="K30" i="8"/>
  <c r="J29" i="8"/>
  <c r="J30" i="8"/>
  <c r="F84" i="2"/>
  <c r="F26" i="8" s="1"/>
  <c r="F74" i="2"/>
  <c r="F31" i="8" s="1"/>
  <c r="F32" i="6"/>
  <c r="E33" i="6" s="1"/>
  <c r="J25" i="8" l="1"/>
  <c r="I85" i="2"/>
  <c r="I26" i="8"/>
  <c r="I95" i="2"/>
  <c r="I32" i="8"/>
  <c r="G85" i="2"/>
  <c r="G26" i="8"/>
  <c r="H85" i="2"/>
  <c r="H26" i="8"/>
  <c r="G95" i="2"/>
  <c r="G32" i="8"/>
  <c r="H95" i="2"/>
  <c r="H32" i="8"/>
  <c r="F75" i="2"/>
  <c r="F32" i="8" s="1"/>
  <c r="J31" i="8"/>
  <c r="F85" i="2"/>
  <c r="F27" i="8" s="1"/>
  <c r="J26" i="8"/>
  <c r="K26" i="8"/>
  <c r="K31" i="8"/>
  <c r="F33" i="6"/>
  <c r="E34" i="6" s="1"/>
  <c r="I94" i="2" l="1"/>
  <c r="I27" i="8"/>
  <c r="H94" i="2"/>
  <c r="H27" i="8"/>
  <c r="G94" i="2"/>
  <c r="G27" i="8"/>
  <c r="F94" i="2"/>
  <c r="J27" i="8"/>
  <c r="K32" i="8"/>
  <c r="F95" i="2"/>
  <c r="J32" i="8"/>
  <c r="K27" i="8"/>
  <c r="F34" i="6"/>
  <c r="E35" i="6" s="1"/>
  <c r="F35" i="6" l="1"/>
  <c r="E36" i="6" s="1"/>
  <c r="F36" i="6" l="1"/>
  <c r="E37" i="6" s="1"/>
  <c r="F37" i="6" l="1"/>
  <c r="E38" i="6" s="1"/>
  <c r="F38" i="6" l="1"/>
  <c r="E39" i="6"/>
  <c r="F39" i="6" l="1"/>
  <c r="E40" i="6" s="1"/>
  <c r="F40" i="6" l="1"/>
  <c r="E41" i="6" s="1"/>
  <c r="F41" i="6" s="1"/>
  <c r="E72" i="2"/>
  <c r="E82" i="2" s="1"/>
  <c r="E74" i="2" l="1"/>
  <c r="E73" i="2"/>
  <c r="E30" i="8" s="1"/>
  <c r="E29" i="8"/>
  <c r="E31" i="8" l="1"/>
  <c r="E75" i="2"/>
  <c r="E84" i="2"/>
  <c r="E83" i="2"/>
  <c r="E25" i="8" s="1"/>
  <c r="E24" i="8"/>
  <c r="E85" i="2" l="1"/>
  <c r="E26" i="8"/>
  <c r="E32" i="8"/>
  <c r="E95" i="2"/>
  <c r="E27" i="8" l="1"/>
  <c r="E9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Jochen Rivoir</author>
  </authors>
  <commentList>
    <comment ref="N78" authorId="0" shapeId="0" xr:uid="{63C1DD68-EB48-4612-B7AC-978322352A94}">
      <text>
        <r>
          <rPr>
            <b/>
            <sz val="9"/>
            <color indexed="81"/>
            <rFont val="Tahoma"/>
            <family val="2"/>
          </rPr>
          <t>Jochen Rivoir:</t>
        </r>
        <r>
          <rPr>
            <sz val="9"/>
            <color indexed="81"/>
            <rFont val="Tahoma"/>
            <family val="2"/>
          </rPr>
          <t xml:space="preserve">
+1 für Allgemeinstrom
-2 für Hauptzähler (Bezug + Einspeisung)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<sst xmlns="http://schemas.openxmlformats.org/spreadsheetml/2006/main" count="365" uniqueCount="258">
  <si>
    <t>kWp</t>
  </si>
  <si>
    <t>Jahre</t>
  </si>
  <si>
    <t>/kWh</t>
  </si>
  <si>
    <t>Amortisationszeit</t>
  </si>
  <si>
    <t>Eingespeister Strom</t>
  </si>
  <si>
    <t>kWh/Jahr</t>
  </si>
  <si>
    <t>/Jahr</t>
  </si>
  <si>
    <t>Volleinspeisung</t>
  </si>
  <si>
    <t>PV Kosten</t>
  </si>
  <si>
    <t>Anschaffungskosten</t>
  </si>
  <si>
    <t>kWh</t>
  </si>
  <si>
    <t>Teileinspeisung</t>
  </si>
  <si>
    <t>Vermiedene CO2 Emissionen</t>
  </si>
  <si>
    <t>Umweltbundesamt</t>
  </si>
  <si>
    <t>Waldfläche (CO2-äquivalent)</t>
  </si>
  <si>
    <t>Stiftung Unternehmen Wald</t>
  </si>
  <si>
    <t>/kWp</t>
  </si>
  <si>
    <t>PV Nennleistung</t>
  </si>
  <si>
    <t>Einspeisevergütung pro kWh</t>
  </si>
  <si>
    <t>Für weitere Szenarien:</t>
  </si>
  <si>
    <t>Für kollektive Selbstversorgung</t>
  </si>
  <si>
    <t>Für Allgemeinstrom Modell</t>
  </si>
  <si>
    <t>Für Volleinspeisung</t>
  </si>
  <si>
    <t>Speicherkapazität</t>
  </si>
  <si>
    <t>Speicherkapazität * Kosten pro kWh</t>
  </si>
  <si>
    <t>Strommengen</t>
  </si>
  <si>
    <t>Von oben</t>
  </si>
  <si>
    <t>PV-Anlage</t>
  </si>
  <si>
    <t>0 - 10 kWp</t>
  </si>
  <si>
    <t>10 - 40 kWp</t>
  </si>
  <si>
    <t>40 - 100 kWp</t>
  </si>
  <si>
    <t>Vergütung</t>
  </si>
  <si>
    <t>Anteil an PV Nennleistung</t>
  </si>
  <si>
    <t>€/kWh</t>
  </si>
  <si>
    <t>bsw_verguetungssaetze_aktuell.pdf (solarwirtschaft.de)</t>
  </si>
  <si>
    <t>Direktvermarktung</t>
  </si>
  <si>
    <t>Siehe oben</t>
  </si>
  <si>
    <t>Durchschnittlicher CO₂-Fußabdruck pro Kopf in Deutschland | Umweltbundesamt</t>
  </si>
  <si>
    <t>qm Wald/kg CO2/Jahr</t>
  </si>
  <si>
    <t>kg CO2/Person/Jahr</t>
  </si>
  <si>
    <t>kWh/100 km</t>
  </si>
  <si>
    <t>Umweltbilanz von Elektrofahrzeugen – Potenziale der Kreislaufwirtschaft - FfE</t>
  </si>
  <si>
    <t>kg CO2/kWh</t>
  </si>
  <si>
    <t>kWh/Jahr/kWp</t>
  </si>
  <si>
    <t>Jahren</t>
  </si>
  <si>
    <t>Netzbezug</t>
  </si>
  <si>
    <t>CO2 Belastung durch Speicher (über 20 Jahre)</t>
  </si>
  <si>
    <t>kg CO2/Jahr</t>
  </si>
  <si>
    <t>qm Wald</t>
  </si>
  <si>
    <t>Personen</t>
  </si>
  <si>
    <t>km/Jahr</t>
  </si>
  <si>
    <t>Beitrag zum Klimaschutz</t>
  </si>
  <si>
    <t>Für Fahrt mit E-Auto</t>
  </si>
  <si>
    <t>Vermiedener Pro-Kopf CO2-Fußabdruck</t>
  </si>
  <si>
    <t>Objekt</t>
  </si>
  <si>
    <t>Datum der Inbetriebnahme</t>
  </si>
  <si>
    <t>Beeinflusst die Einspeisevergütung</t>
  </si>
  <si>
    <t>Fixe Sätze für Einspeisevergütung</t>
  </si>
  <si>
    <t>Sätze bis</t>
  </si>
  <si>
    <t>Ende Jan 2024</t>
  </si>
  <si>
    <t>Sätze am</t>
  </si>
  <si>
    <t>Halbjahre nach</t>
  </si>
  <si>
    <t>Eingaben</t>
  </si>
  <si>
    <t>Simulation des Geldflusses</t>
  </si>
  <si>
    <t xml:space="preserve">Anschaffungskosten </t>
  </si>
  <si>
    <t>Jahr</t>
  </si>
  <si>
    <t>Kapital</t>
  </si>
  <si>
    <t>Rendite</t>
  </si>
  <si>
    <t>Ertrag</t>
  </si>
  <si>
    <t>Berechnet</t>
  </si>
  <si>
    <t>Ertrag pro Jahr</t>
  </si>
  <si>
    <t>p.a.</t>
  </si>
  <si>
    <t>Zur Überprüfung der Renditeberechnung</t>
  </si>
  <si>
    <t>qm/Fußballfeld</t>
  </si>
  <si>
    <t>Fussballfelder</t>
  </si>
  <si>
    <t>/kWh/Jahr</t>
  </si>
  <si>
    <t>Autarkiegrad</t>
  </si>
  <si>
    <t>Allgemeinstromverbrauch</t>
  </si>
  <si>
    <t>Eingabefeld</t>
  </si>
  <si>
    <t>Zinsen</t>
  </si>
  <si>
    <t>Fall A) Einmalige Sonderumlage</t>
  </si>
  <si>
    <t>Fall B) Rücklagenrückführung in</t>
  </si>
  <si>
    <t>Kreditsumme</t>
  </si>
  <si>
    <t>Simulation</t>
  </si>
  <si>
    <t>Kredit</t>
  </si>
  <si>
    <t>Zahlung</t>
  </si>
  <si>
    <t>Jährliche Zahlung</t>
  </si>
  <si>
    <t>Monatliche Zahlung</t>
  </si>
  <si>
    <t>Tilgungsdauer in Jahren</t>
  </si>
  <si>
    <t>Wirtschaftlichkeit</t>
  </si>
  <si>
    <t>/Wohnung</t>
  </si>
  <si>
    <t>/Monat/Wohnung</t>
  </si>
  <si>
    <t>Äquivalente Verzinsung</t>
  </si>
  <si>
    <t>Name des Objekt</t>
  </si>
  <si>
    <t>WQ StadtWerk</t>
  </si>
  <si>
    <t>Zählerstruktur ändern? (0 = Nein, 1 = Ja)</t>
  </si>
  <si>
    <t>Anzahl Wohneinheiten</t>
  </si>
  <si>
    <t>Wohneinheiten</t>
  </si>
  <si>
    <t>PV-Nennleistung</t>
  </si>
  <si>
    <t>Gesamtstromverbrauch</t>
  </si>
  <si>
    <t>Erzeugter PV Strom / Gesamtstromverbrauch</t>
  </si>
  <si>
    <t>Nutzen durch Einspeisung (N2)</t>
  </si>
  <si>
    <t>von Anschaffung/Jahr</t>
  </si>
  <si>
    <t>Selbstbewohnte Wohnung</t>
  </si>
  <si>
    <t>Vermietete Wohnung</t>
  </si>
  <si>
    <t>Spezifischer Energieertrag</t>
  </si>
  <si>
    <t>Siehe Blatt "Hinweise"</t>
  </si>
  <si>
    <t>Der Energieertrag hängt von Standort, Ausrichtung und Aufstellwinkel ab.</t>
  </si>
  <si>
    <t>JRC Photovoltaic Geographical Information System (PVGIS) - European Commission (europa.eu)</t>
  </si>
  <si>
    <t>Auf der Karte links den Standort der PV-Anlage anklicken.</t>
  </si>
  <si>
    <t>Bei "Installed PV peak power [kWp]" den Wert 1 eingeben.</t>
  </si>
  <si>
    <t>"Optimize Slope" anklicken.</t>
  </si>
  <si>
    <t>Den blauen Knopf "Visualize results" anklicken.</t>
  </si>
  <si>
    <t>Links unten den Wert für "Yearly PV energy production [kWh]" ablesen und im Wirtschaftlichkeitsrechner unter "Spezifischer Energieertrag" eintragen.</t>
  </si>
  <si>
    <t>/Jahr/Wohnung</t>
  </si>
  <si>
    <t>Messpreise für Einspeiser nach dem Kraft-Wärme-Kopplungsgesetz 01.01.2022 (ctfassets.net)</t>
  </si>
  <si>
    <t>Abhängig von PV-Nennleistung, Teil- bzw Volleinspeisung und Datum der Inbetriebnahme</t>
  </si>
  <si>
    <t>Tilgung und Zinsen werden mit Nutzen bezahlt</t>
  </si>
  <si>
    <t xml:space="preserve">https://www.verivox.de/strom/ </t>
  </si>
  <si>
    <t>Kosten für Umbau der Zählerstruktur</t>
  </si>
  <si>
    <t>Nutzen * 20</t>
  </si>
  <si>
    <t>Finanzierung für Wohnung mit durchschnittlichen Miteigentumsanteilen</t>
  </si>
  <si>
    <t>Fall C) Tilgungsdauer eines Kredits mit</t>
  </si>
  <si>
    <t>Spalten einfügen und ähnliche Spalte kopieren</t>
  </si>
  <si>
    <t>Wirtschaftlichkeitsrechner für PV auf Mehrfamilienhäusern</t>
  </si>
  <si>
    <t>Konservative Annahmen</t>
  </si>
  <si>
    <t>Keine Steigerung des Strompreises</t>
  </si>
  <si>
    <t>Nutzungsdauer endet nach 20 Jahren</t>
  </si>
  <si>
    <t>Stromverbrauch der Wohnungen</t>
  </si>
  <si>
    <t>Hängt von Standort, Ausrichtung und Aufstellwinkel ab.</t>
  </si>
  <si>
    <t>Spezifischer Energieertrag im ersten Jahr</t>
  </si>
  <si>
    <t>Erzeugter PV Strom (Durchschnitt während der Nutzungsdauer)</t>
  </si>
  <si>
    <t>Er wird von PV Software berechnet oder mithilfe des folgenden Links ermittelt:</t>
  </si>
  <si>
    <t>PV Nennleistung *  (1 - Mittlere Degradation) * Spezifischer Energieertrag</t>
  </si>
  <si>
    <t>Mittlere Degradation der PV Nennleistung</t>
  </si>
  <si>
    <t>Gemittelt über die Nutzungsdauer von 20 Jahren</t>
  </si>
  <si>
    <t>Nutzen in 20 Jahren für durchschnittlich große Wohnung</t>
  </si>
  <si>
    <t>Szenario 1</t>
  </si>
  <si>
    <t>Szenario 2</t>
  </si>
  <si>
    <t>Szenario 3</t>
  </si>
  <si>
    <t>Szenario 4</t>
  </si>
  <si>
    <t>Anteil der Anschaffungskosten für durchschnittlich große Wohnung</t>
  </si>
  <si>
    <t>Siehe "Ausgabeblatt" für Zusammenfassung wichtiger Annahmen und Ergebnisse</t>
  </si>
  <si>
    <t>Das ist ein Ausgabeblatt.</t>
  </si>
  <si>
    <t>Eingaben müssen im Blatt "Eingaben &amp; Berechnung" gemacht werden.</t>
  </si>
  <si>
    <t>Nicht benötigte Zeilen können einfach gelöscht werden.</t>
  </si>
  <si>
    <t>Wartung, Versicherung, Reinigung, Reparatur</t>
  </si>
  <si>
    <t>Maßgeblicher Jahresverbrauch = Gesamtverbrauch</t>
  </si>
  <si>
    <t>Maßgeblicher Jahresverbrauch = Allgemeinstromverbrauch</t>
  </si>
  <si>
    <t>Maßgeblicher Jahresverbrauch = 0. Einspeisevergütung wird automatisch richtig gewählt.</t>
  </si>
  <si>
    <t>Rendite (Steuerfrei) bei 20 Jahren Nutzungsdauer</t>
  </si>
  <si>
    <t>Rendite (steuerfrei) bei 20 Jahren Nutzungsdauer</t>
  </si>
  <si>
    <t>Spezifische PV Kosten</t>
  </si>
  <si>
    <t>"Azimuth" eingeben. 0 für Ausrichtung nach Süden, -90 für Osten, +90 für Westen</t>
  </si>
  <si>
    <t>Bilanzielle Autarkie</t>
  </si>
  <si>
    <t>Ertragseinbuße wegen verspäteter Einspeisevergütung nach negativen Strompreisen</t>
  </si>
  <si>
    <t>Einspeisevergütung * Eingespeister Strom * (1-Ertragseinbuße)</t>
  </si>
  <si>
    <t>Internetzugang</t>
  </si>
  <si>
    <t>Fixe Kosten (Gerüst, Leitungen, Inbetriebnahme)</t>
  </si>
  <si>
    <t>/Jahr, ab 4 Wohnungen</t>
  </si>
  <si>
    <t>kWh/Jahr je Wohnung</t>
  </si>
  <si>
    <t>Für Module, Wechselrichter, Montage</t>
  </si>
  <si>
    <t>Weitere einmalige Kosten</t>
  </si>
  <si>
    <t>Nutzen nur im Mieterstrommodell (N3)</t>
  </si>
  <si>
    <t>Nutzen = N1 + N2 + N3 - K</t>
  </si>
  <si>
    <t>Grundgebühren von Mietern, Mieterstromzuschlag</t>
  </si>
  <si>
    <t>/Jahr/</t>
  </si>
  <si>
    <t>Betriebsmodell</t>
  </si>
  <si>
    <t>Einzählermodell</t>
  </si>
  <si>
    <t>Einzelanlagen</t>
  </si>
  <si>
    <t>Mieterstrom</t>
  </si>
  <si>
    <t>Allgemeinstrom</t>
  </si>
  <si>
    <t>GGV</t>
  </si>
  <si>
    <t>Betriebsmodelle</t>
  </si>
  <si>
    <t>Aus Liste auswählen</t>
  </si>
  <si>
    <t>Grundgebühren der Wohnungsstromverträge</t>
  </si>
  <si>
    <t>Szenario 5</t>
  </si>
  <si>
    <t>Szenario 6</t>
  </si>
  <si>
    <t>Szenario 7</t>
  </si>
  <si>
    <t>Klein</t>
  </si>
  <si>
    <t>Groß (realisiert)</t>
  </si>
  <si>
    <t>Direktverbrauchsquote</t>
  </si>
  <si>
    <t>Direktverbrauch</t>
  </si>
  <si>
    <t>Direktverbrauch / Gesamtstromverbrauch</t>
  </si>
  <si>
    <t>Gesamtstromverbrauch - Direktverbrauch</t>
  </si>
  <si>
    <t>Erzeugter Strom - Direktverbrauch</t>
  </si>
  <si>
    <t>Direktverbrauchsquote (Anteil des selbst verbrauchten Stroms am PV-Strom)</t>
  </si>
  <si>
    <t>Nutzen durch Direktverbrauch (N1)</t>
  </si>
  <si>
    <t>Direktverbrauch * Strompreis</t>
  </si>
  <si>
    <t>Mieterstromzuschlag auf Direktverbrauch</t>
  </si>
  <si>
    <t>Maßgeblicher Jahresverbrauch als Basis für Direktverbrauch</t>
  </si>
  <si>
    <t>Copyright © Jochen Rivoir</t>
  </si>
  <si>
    <t>Anpassungen sind erlaubt. Der Copyright Hinweis darf nicht entfernt werden.</t>
  </si>
  <si>
    <t>Direktverbrauch / Erzeugter Strom</t>
  </si>
  <si>
    <t>Verwendung nur ohne kommerzielle Interessen.</t>
  </si>
  <si>
    <t>Beachten Sie die Hinweise m Leitfaden "PV für WEGs"</t>
  </si>
  <si>
    <t>Kapitel 2.2 wenn Sie eine grobe Voruntersuchung durchführen.</t>
  </si>
  <si>
    <t>Kapitel 3.6 wenn Sie die Wirtschaftlichkeit auf Basis eine Angebots berechnen möchten.</t>
  </si>
  <si>
    <t>Kapitel 4.2 für generelle Überlegungen zur Wirtschaftlichkeit.</t>
  </si>
  <si>
    <t>Hilfestellungen finden Sie im Blatt "Hinweise" und im Leitfaden Kapitel 4.2</t>
  </si>
  <si>
    <t>https://pv4wegs.de</t>
  </si>
  <si>
    <t>Nur für Mieterstrommodell</t>
  </si>
  <si>
    <t>Nur Kosten, die durch die PV-Anlage verursacht werden.</t>
  </si>
  <si>
    <t>Betriebskosten (K)</t>
  </si>
  <si>
    <t>Anschaffung / (Nutzen abzgl. Betriebskosten)</t>
  </si>
  <si>
    <t>Strompreis des eingekauften Stroms</t>
  </si>
  <si>
    <t>Strompreis, den die WEG erhält</t>
  </si>
  <si>
    <t>Nutzen durch günstigeren PV-Strom bei Mieterstrom / GGV</t>
  </si>
  <si>
    <t>Nutzen durch gesparte Grundgebühren</t>
  </si>
  <si>
    <t>Nutzen = Nutzen Vermieter + Nutzen Bewohner</t>
  </si>
  <si>
    <t>Vergünstigung PV-Strom für die Wohnungen</t>
  </si>
  <si>
    <t>Nutzen für Vermieter (Summe aller Wohnungen)</t>
  </si>
  <si>
    <t>Nutzen für Bewohner (Summe aller Wohnungen)</t>
  </si>
  <si>
    <t>Nutzen für Eigennutzer (Summe aller Wohnungen)</t>
  </si>
  <si>
    <t>Speicher-Verbrauchsquotient (SVQ)</t>
  </si>
  <si>
    <t>SVQ = Speichergröße in kWh / Verbrauch in MWh/Jahr</t>
  </si>
  <si>
    <t>Bilanzielle Autarkie = Jahresstromertrag / Jahresstromverbrauch</t>
  </si>
  <si>
    <t>Gesamtstromverbrauch * Direktverbrauchsquote</t>
  </si>
  <si>
    <t>Für Direktverbrauchsquote</t>
  </si>
  <si>
    <t>Einfamilienhaus (1 WE)</t>
  </si>
  <si>
    <t>Ausrichtung:</t>
  </si>
  <si>
    <t>Ost-West</t>
  </si>
  <si>
    <t>Dachneigung: 40°</t>
  </si>
  <si>
    <t>Größe der PV-Anlage [Bilanzielle Autarkie]</t>
  </si>
  <si>
    <t>Größe des Speichers (SVQ)</t>
  </si>
  <si>
    <t>Mehrfamilienhaus "Herrschaftsgarten" mit 11 WE</t>
  </si>
  <si>
    <t>Unser Mehrfamilienhaus (Interpoliert)</t>
  </si>
  <si>
    <t>Interpolation zwischen 1 und 11 Wohneinheiten (WE)</t>
  </si>
  <si>
    <t>Wie MFH</t>
  </si>
  <si>
    <t>Anhand von bilanzieller Autarkie und SVQ im Blatt "Direktverbrauchsquote"</t>
  </si>
  <si>
    <t>Das sind die blauen Werte im Blatt "Eingaben und Berechnung".</t>
  </si>
  <si>
    <t>Interne Berechnungen unterhalb dieser Linie</t>
  </si>
  <si>
    <t>Anzahl WE</t>
  </si>
  <si>
    <t>Anhand Wurzel(WE)</t>
  </si>
  <si>
    <t>manuell anhand von Blatt "Direktverbrauchsquote"</t>
  </si>
  <si>
    <t xml:space="preserve">Lesen Sie aus der Grafik unten die Direktverbrauchsquote ab anhand </t>
  </si>
  <si>
    <t>Nur bei Mieterstrom, GGV</t>
  </si>
  <si>
    <t>Messstellenbetrieb für Wandlermessung</t>
  </si>
  <si>
    <t>Hardware oder Projektkosten, für Objekt und für die Wohnungen</t>
  </si>
  <si>
    <t>Speicherkosten</t>
  </si>
  <si>
    <t>Zusätzlicher zukünftiger Stromverbrauch (z.B. E-Autos oder Wärmepumpe)</t>
  </si>
  <si>
    <t>Weitere Betriebskosten für Abrechnung etc.</t>
  </si>
  <si>
    <t>Bei GGV: Gebühren für das Objekt und für die Wohnungen</t>
  </si>
  <si>
    <t>Grundgebühr für Mieterstrom / GGV</t>
  </si>
  <si>
    <t>BA = 0,5</t>
  </si>
  <si>
    <t>BA = 0,75</t>
  </si>
  <si>
    <t>BA = 1</t>
  </si>
  <si>
    <t>BA = 1,25</t>
  </si>
  <si>
    <t>BA = 1,5</t>
  </si>
  <si>
    <t>2.500 € unter 4 Wohnungen</t>
  </si>
  <si>
    <t>Grober Richtwert kann abweichen.</t>
  </si>
  <si>
    <t>Zählerkosten für Wohnungen</t>
  </si>
  <si>
    <t>Bilanzielle Autarkie (BA)</t>
  </si>
  <si>
    <t>(1) BA = bilanziellen Autarkie = PV Jahresertrag / Jahresverbrauch (Kurvenschar)</t>
  </si>
  <si>
    <t>(2) SVQ = Speicher-Verbrauchsquotient (Waagrechte Achse) = Speichergröße in kWh / Verbrauch in MWh/Jahr</t>
  </si>
  <si>
    <t>Siehe "Einspeisevergütung" im Leitfaden, 100 % wenn keine Einspeisevergütung</t>
  </si>
  <si>
    <t>Anschaffung+Montage (ca. 160 €) alle 8 Jahre oder Zählerpacht (ca. 25 €/Jahr)</t>
  </si>
  <si>
    <t>Stand 10.08.2026, Angaben ohne Gewähr.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</si>
</sst>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_-* #,##0\ &quot;€&quot;_-;\-* #,##0\ &quot;€&quot;_-;_-* &quot;-&quot;??\ &quot;€&quot;_-;_-@_-"/>
    <numFmt numFmtId="166" formatCode="_-* #,##0.000\ &quot;€&quot;_-;\-* #,##0.000\ &quot;€&quot;_-;_-* &quot;-&quot;??\ &quot;€&quot;_-;_-@_-"/>
    <numFmt numFmtId="167" formatCode="_-* #,##0.0_-;\-* #,##0.0_-;_-* &quot;-&quot;??_-;_-@_-"/>
    <numFmt numFmtId="168" formatCode="0.0%"/>
    <numFmt numFmtId="169" formatCode="0.0"/>
    <numFmt numFmtId="170" formatCode="_-* #,##0.0000\ &quot;€&quot;_-;\-* #,##0.0000\ &quot;€&quot;_-;_-* &quot;-&quot;???\ &quot;€&quot;_-;_-@_-"/>
    <numFmt numFmtId="171" formatCode="_-* #,##0.000_-;\-* #,##0.000_-;_-* &quot;-&quot;??_-;_-@_-"/>
    <numFmt numFmtId="172" formatCode="[$-407]mmmm\ yy;@"/>
    <numFmt numFmtId="173" formatCode="_-* #,##0\ [$€-407]_-;\-* #,##0\ [$€-407]_-;_-* &quot;-&quot;??\ [$€-407]_-;_-@_-"/>
    <numFmt numFmtId="174" formatCode="#,##0.000\ &quot;€&quot;;[Red]\-#,##0.000\ &quot;€&quot;"/>
    <numFmt numFmtId="175" formatCode="#,##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14">
    <xf numFmtId="0" fontId="0" fillId="0" borderId="0" xfId="0"/>
    <xf numFmtId="164" fontId="0" fillId="0" borderId="0" xfId="1" applyNumberFormat="1" applyFont="1"/>
    <xf numFmtId="0" fontId="0" fillId="0" borderId="0" xfId="0" quotePrefix="1"/>
    <xf numFmtId="166" fontId="0" fillId="0" borderId="0" xfId="2" applyNumberFormat="1" applyFont="1"/>
    <xf numFmtId="0" fontId="3" fillId="0" borderId="0" xfId="0" applyFont="1"/>
    <xf numFmtId="0" fontId="6" fillId="0" borderId="0" xfId="0" applyFont="1"/>
    <xf numFmtId="0" fontId="0" fillId="0" borderId="0" xfId="2" applyNumberFormat="1" applyFont="1"/>
    <xf numFmtId="0" fontId="0" fillId="0" borderId="0" xfId="1" applyNumberFormat="1" applyFont="1" applyBorder="1" applyAlignment="1">
      <alignment horizontal="left"/>
    </xf>
    <xf numFmtId="164" fontId="0" fillId="0" borderId="0" xfId="1" applyNumberFormat="1" applyFont="1" applyFill="1" applyBorder="1"/>
    <xf numFmtId="165" fontId="0" fillId="0" borderId="0" xfId="2" applyNumberFormat="1" applyFont="1" applyFill="1" applyBorder="1"/>
    <xf numFmtId="0" fontId="0" fillId="0" borderId="0" xfId="0" applyAlignment="1">
      <alignment horizontal="right"/>
    </xf>
    <xf numFmtId="0" fontId="0" fillId="4" borderId="0" xfId="0" applyFill="1"/>
    <xf numFmtId="0" fontId="0" fillId="4" borderId="1" xfId="0" applyFill="1" applyBorder="1"/>
    <xf numFmtId="164" fontId="0" fillId="4" borderId="1" xfId="1" applyNumberFormat="1" applyFont="1" applyFill="1" applyBorder="1"/>
    <xf numFmtId="0" fontId="7" fillId="0" borderId="0" xfId="0" applyFont="1"/>
    <xf numFmtId="0" fontId="4" fillId="0" borderId="0" xfId="0" applyFont="1"/>
    <xf numFmtId="164" fontId="4" fillId="0" borderId="0" xfId="1" applyNumberFormat="1" applyFont="1"/>
    <xf numFmtId="0" fontId="6" fillId="0" borderId="0" xfId="0" applyFont="1" applyAlignment="1">
      <alignment horizontal="left"/>
    </xf>
    <xf numFmtId="166" fontId="5" fillId="0" borderId="0" xfId="2" applyNumberFormat="1" applyFon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2" xfId="0" applyFill="1" applyBorder="1" applyAlignment="1">
      <alignment horizontal="right"/>
    </xf>
    <xf numFmtId="164" fontId="0" fillId="0" borderId="0" xfId="1" applyNumberFormat="1" applyFont="1" applyFill="1"/>
    <xf numFmtId="164" fontId="0" fillId="0" borderId="3" xfId="1" applyNumberFormat="1" applyFont="1" applyFill="1" applyBorder="1"/>
    <xf numFmtId="164" fontId="0" fillId="4" borderId="3" xfId="1" applyNumberFormat="1" applyFont="1" applyFill="1" applyBorder="1" applyAlignment="1">
      <alignment horizontal="right"/>
    </xf>
    <xf numFmtId="164" fontId="0" fillId="4" borderId="4" xfId="1" applyNumberFormat="1" applyFont="1" applyFill="1" applyBorder="1" applyAlignment="1">
      <alignment horizontal="right"/>
    </xf>
    <xf numFmtId="164" fontId="0" fillId="0" borderId="3" xfId="1" applyNumberFormat="1" applyFont="1" applyBorder="1"/>
    <xf numFmtId="0" fontId="0" fillId="4" borderId="0" xfId="0" applyFill="1" applyAlignment="1">
      <alignment horizontal="center"/>
    </xf>
    <xf numFmtId="0" fontId="0" fillId="4" borderId="2" xfId="0" quotePrefix="1" applyFill="1" applyBorder="1" applyAlignment="1">
      <alignment horizontal="right"/>
    </xf>
    <xf numFmtId="0" fontId="2" fillId="0" borderId="0" xfId="4"/>
    <xf numFmtId="166" fontId="0" fillId="4" borderId="0" xfId="2" applyNumberFormat="1" applyFont="1" applyFill="1" applyAlignment="1">
      <alignment horizontal="right"/>
    </xf>
    <xf numFmtId="166" fontId="0" fillId="4" borderId="2" xfId="2" applyNumberFormat="1" applyFont="1" applyFill="1" applyBorder="1" applyAlignment="1">
      <alignment horizontal="right"/>
    </xf>
    <xf numFmtId="166" fontId="2" fillId="0" borderId="0" xfId="2" applyNumberFormat="1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68" fontId="0" fillId="0" borderId="0" xfId="3" applyNumberFormat="1" applyFont="1" applyFill="1"/>
    <xf numFmtId="44" fontId="0" fillId="0" borderId="0" xfId="0" applyNumberFormat="1"/>
    <xf numFmtId="14" fontId="0" fillId="0" borderId="0" xfId="2" applyNumberFormat="1" applyFont="1"/>
    <xf numFmtId="43" fontId="0" fillId="0" borderId="0" xfId="1" applyFont="1" applyFill="1" applyBorder="1"/>
    <xf numFmtId="164" fontId="0" fillId="3" borderId="6" xfId="1" applyNumberFormat="1" applyFont="1" applyFill="1" applyBorder="1"/>
    <xf numFmtId="165" fontId="0" fillId="3" borderId="6" xfId="2" applyNumberFormat="1" applyFont="1" applyFill="1" applyBorder="1"/>
    <xf numFmtId="43" fontId="0" fillId="3" borderId="6" xfId="1" applyFont="1" applyFill="1" applyBorder="1"/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44" fontId="0" fillId="0" borderId="2" xfId="2" applyFont="1" applyFill="1" applyBorder="1"/>
    <xf numFmtId="14" fontId="0" fillId="0" borderId="0" xfId="0" applyNumberFormat="1"/>
    <xf numFmtId="2" fontId="0" fillId="0" borderId="0" xfId="1" applyNumberFormat="1" applyFont="1"/>
    <xf numFmtId="1" fontId="0" fillId="0" borderId="0" xfId="1" applyNumberFormat="1" applyFont="1"/>
    <xf numFmtId="164" fontId="8" fillId="4" borderId="3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172" fontId="0" fillId="0" borderId="0" xfId="0" applyNumberFormat="1"/>
    <xf numFmtId="0" fontId="5" fillId="6" borderId="0" xfId="0" applyFont="1" applyFill="1"/>
    <xf numFmtId="1" fontId="0" fillId="5" borderId="0" xfId="1" applyNumberFormat="1" applyFont="1" applyFill="1" applyAlignment="1">
      <alignment horizontal="left"/>
    </xf>
    <xf numFmtId="0" fontId="0" fillId="5" borderId="0" xfId="0" applyFill="1"/>
    <xf numFmtId="165" fontId="0" fillId="0" borderId="0" xfId="2" applyNumberFormat="1" applyFont="1"/>
    <xf numFmtId="1" fontId="8" fillId="0" borderId="0" xfId="1" applyNumberFormat="1" applyFont="1" applyFill="1" applyAlignment="1">
      <alignment horizontal="center"/>
    </xf>
    <xf numFmtId="17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" fontId="0" fillId="0" borderId="0" xfId="1" applyNumberFormat="1" applyFont="1" applyAlignment="1">
      <alignment horizontal="center"/>
    </xf>
    <xf numFmtId="0" fontId="5" fillId="0" borderId="0" xfId="0" applyFont="1"/>
    <xf numFmtId="10" fontId="0" fillId="2" borderId="0" xfId="0" applyNumberFormat="1" applyFill="1"/>
    <xf numFmtId="44" fontId="0" fillId="0" borderId="0" xfId="2" applyFont="1"/>
    <xf numFmtId="9" fontId="0" fillId="0" borderId="0" xfId="3" applyFont="1"/>
    <xf numFmtId="44" fontId="0" fillId="2" borderId="0" xfId="0" applyNumberFormat="1" applyFill="1"/>
    <xf numFmtId="164" fontId="0" fillId="5" borderId="7" xfId="1" applyNumberFormat="1" applyFont="1" applyFill="1" applyBorder="1"/>
    <xf numFmtId="9" fontId="0" fillId="0" borderId="0" xfId="3" applyFont="1" applyFill="1"/>
    <xf numFmtId="165" fontId="6" fillId="0" borderId="0" xfId="2" applyNumberFormat="1" applyFont="1" applyFill="1"/>
    <xf numFmtId="9" fontId="0" fillId="0" borderId="0" xfId="0" applyNumberFormat="1"/>
    <xf numFmtId="0" fontId="8" fillId="5" borderId="0" xfId="0" applyFont="1" applyFill="1"/>
    <xf numFmtId="44" fontId="8" fillId="5" borderId="0" xfId="2" applyFont="1" applyFill="1"/>
    <xf numFmtId="43" fontId="0" fillId="0" borderId="0" xfId="1" applyFont="1"/>
    <xf numFmtId="0" fontId="8" fillId="0" borderId="0" xfId="0" applyFont="1"/>
    <xf numFmtId="0" fontId="3" fillId="7" borderId="0" xfId="0" applyFont="1" applyFill="1"/>
    <xf numFmtId="0" fontId="3" fillId="2" borderId="0" xfId="0" applyFont="1" applyFill="1"/>
    <xf numFmtId="0" fontId="3" fillId="8" borderId="0" xfId="0" applyFont="1" applyFill="1"/>
    <xf numFmtId="0" fontId="9" fillId="9" borderId="0" xfId="0" applyFont="1" applyFill="1"/>
    <xf numFmtId="0" fontId="7" fillId="9" borderId="0" xfId="0" applyFont="1" applyFill="1"/>
    <xf numFmtId="0" fontId="6" fillId="9" borderId="0" xfId="0" applyFont="1" applyFill="1"/>
    <xf numFmtId="0" fontId="8" fillId="2" borderId="0" xfId="0" applyFont="1" applyFill="1"/>
    <xf numFmtId="165" fontId="8" fillId="2" borderId="0" xfId="0" applyNumberFormat="1" applyFont="1" applyFill="1"/>
    <xf numFmtId="0" fontId="8" fillId="2" borderId="0" xfId="0" quotePrefix="1" applyFont="1" applyFill="1"/>
    <xf numFmtId="0" fontId="5" fillId="0" borderId="0" xfId="1" applyNumberFormat="1" applyFont="1" applyBorder="1" applyAlignment="1">
      <alignment horizontal="left"/>
    </xf>
    <xf numFmtId="0" fontId="0" fillId="10" borderId="0" xfId="0" applyFill="1"/>
    <xf numFmtId="164" fontId="0" fillId="0" borderId="0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1" xfId="1" applyNumberFormat="1" applyFont="1" applyFill="1" applyBorder="1"/>
    <xf numFmtId="0" fontId="0" fillId="11" borderId="1" xfId="0" applyFill="1" applyBorder="1"/>
    <xf numFmtId="165" fontId="0" fillId="11" borderId="0" xfId="2" applyNumberFormat="1" applyFont="1" applyFill="1" applyBorder="1"/>
    <xf numFmtId="165" fontId="0" fillId="11" borderId="1" xfId="2" applyNumberFormat="1" applyFont="1" applyFill="1" applyBorder="1"/>
    <xf numFmtId="0" fontId="0" fillId="11" borderId="0" xfId="0" applyFill="1"/>
    <xf numFmtId="165" fontId="0" fillId="3" borderId="10" xfId="2" applyNumberFormat="1" applyFont="1" applyFill="1" applyBorder="1"/>
    <xf numFmtId="0" fontId="8" fillId="10" borderId="0" xfId="0" applyFont="1" applyFill="1"/>
    <xf numFmtId="0" fontId="7" fillId="0" borderId="0" xfId="0" applyFont="1" applyAlignment="1">
      <alignment horizontal="left" indent="2"/>
    </xf>
    <xf numFmtId="164" fontId="0" fillId="5" borderId="6" xfId="1" applyNumberFormat="1" applyFont="1" applyFill="1" applyBorder="1"/>
    <xf numFmtId="0" fontId="5" fillId="0" borderId="0" xfId="0" applyFont="1" applyAlignment="1">
      <alignment horizontal="left"/>
    </xf>
    <xf numFmtId="0" fontId="8" fillId="2" borderId="11" xfId="0" applyFont="1" applyFill="1" applyBorder="1"/>
    <xf numFmtId="0" fontId="8" fillId="2" borderId="11" xfId="0" quotePrefix="1" applyFont="1" applyFill="1" applyBorder="1"/>
    <xf numFmtId="0" fontId="6" fillId="9" borderId="11" xfId="2" applyNumberFormat="1" applyFont="1" applyFill="1" applyBorder="1"/>
    <xf numFmtId="0" fontId="8" fillId="8" borderId="11" xfId="0" applyFont="1" applyFill="1" applyBorder="1"/>
    <xf numFmtId="164" fontId="8" fillId="8" borderId="11" xfId="0" applyNumberFormat="1" applyFont="1" applyFill="1" applyBorder="1"/>
    <xf numFmtId="164" fontId="7" fillId="8" borderId="11" xfId="0" applyNumberFormat="1" applyFont="1" applyFill="1" applyBorder="1"/>
    <xf numFmtId="0" fontId="0" fillId="8" borderId="11" xfId="0" applyFill="1" applyBorder="1"/>
    <xf numFmtId="164" fontId="7" fillId="8" borderId="11" xfId="1" applyNumberFormat="1" applyFont="1" applyFill="1" applyBorder="1"/>
    <xf numFmtId="167" fontId="7" fillId="8" borderId="11" xfId="1" applyNumberFormat="1" applyFont="1" applyFill="1" applyBorder="1"/>
    <xf numFmtId="0" fontId="0" fillId="8" borderId="11" xfId="0" quotePrefix="1" applyFill="1" applyBorder="1"/>
    <xf numFmtId="0" fontId="6" fillId="9" borderId="12" xfId="0" applyFont="1" applyFill="1" applyBorder="1"/>
    <xf numFmtId="0" fontId="13" fillId="2" borderId="11" xfId="0" applyFont="1" applyFill="1" applyBorder="1" applyAlignment="1">
      <alignment horizontal="left"/>
    </xf>
    <xf numFmtId="168" fontId="6" fillId="2" borderId="11" xfId="3" applyNumberFormat="1" applyFont="1" applyFill="1" applyBorder="1"/>
    <xf numFmtId="0" fontId="6" fillId="2" borderId="11" xfId="0" applyFont="1" applyFill="1" applyBorder="1"/>
    <xf numFmtId="0" fontId="13" fillId="2" borderId="11" xfId="0" applyFont="1" applyFill="1" applyBorder="1" applyAlignment="1">
      <alignment horizontal="left" indent="2"/>
    </xf>
    <xf numFmtId="0" fontId="0" fillId="7" borderId="11" xfId="0" applyFill="1" applyBorder="1"/>
    <xf numFmtId="9" fontId="0" fillId="7" borderId="11" xfId="3" applyFont="1" applyFill="1" applyBorder="1"/>
    <xf numFmtId="164" fontId="0" fillId="7" borderId="11" xfId="0" applyNumberFormat="1" applyFill="1" applyBorder="1"/>
    <xf numFmtId="9" fontId="0" fillId="7" borderId="13" xfId="3" applyFont="1" applyFill="1" applyBorder="1"/>
    <xf numFmtId="164" fontId="0" fillId="7" borderId="13" xfId="3" applyNumberFormat="1" applyFont="1" applyFill="1" applyBorder="1"/>
    <xf numFmtId="0" fontId="0" fillId="7" borderId="12" xfId="0" applyFill="1" applyBorder="1"/>
    <xf numFmtId="0" fontId="0" fillId="7" borderId="15" xfId="0" applyFill="1" applyBorder="1"/>
    <xf numFmtId="0" fontId="0" fillId="7" borderId="13" xfId="0" applyFill="1" applyBorder="1"/>
    <xf numFmtId="9" fontId="0" fillId="7" borderId="12" xfId="3" applyFont="1" applyFill="1" applyBorder="1"/>
    <xf numFmtId="9" fontId="0" fillId="7" borderId="15" xfId="3" applyFont="1" applyFill="1" applyBorder="1"/>
    <xf numFmtId="164" fontId="8" fillId="8" borderId="13" xfId="0" applyNumberFormat="1" applyFont="1" applyFill="1" applyBorder="1"/>
    <xf numFmtId="0" fontId="8" fillId="2" borderId="15" xfId="0" applyFont="1" applyFill="1" applyBorder="1"/>
    <xf numFmtId="0" fontId="8" fillId="2" borderId="13" xfId="0" applyFont="1" applyFill="1" applyBorder="1"/>
    <xf numFmtId="0" fontId="8" fillId="8" borderId="12" xfId="0" applyFont="1" applyFill="1" applyBorder="1"/>
    <xf numFmtId="0" fontId="8" fillId="8" borderId="15" xfId="0" applyFont="1" applyFill="1" applyBorder="1"/>
    <xf numFmtId="0" fontId="8" fillId="8" borderId="13" xfId="0" applyFont="1" applyFill="1" applyBorder="1"/>
    <xf numFmtId="0" fontId="7" fillId="8" borderId="12" xfId="0" applyFont="1" applyFill="1" applyBorder="1"/>
    <xf numFmtId="171" fontId="1" fillId="8" borderId="15" xfId="1" applyNumberFormat="1" applyFont="1" applyFill="1" applyBorder="1"/>
    <xf numFmtId="0" fontId="1" fillId="8" borderId="13" xfId="0" applyFont="1" applyFill="1" applyBorder="1"/>
    <xf numFmtId="43" fontId="1" fillId="8" borderId="15" xfId="1" applyFont="1" applyFill="1" applyBorder="1"/>
    <xf numFmtId="164" fontId="1" fillId="8" borderId="15" xfId="1" applyNumberFormat="1" applyFont="1" applyFill="1" applyBorder="1"/>
    <xf numFmtId="10" fontId="6" fillId="9" borderId="12" xfId="3" applyNumberFormat="1" applyFont="1" applyFill="1" applyBorder="1" applyAlignment="1">
      <alignment horizontal="left" indent="5"/>
    </xf>
    <xf numFmtId="0" fontId="15" fillId="2" borderId="12" xfId="0" applyFont="1" applyFill="1" applyBorder="1" applyAlignment="1">
      <alignment horizontal="left" indent="2"/>
    </xf>
    <xf numFmtId="0" fontId="15" fillId="2" borderId="15" xfId="0" applyFont="1" applyFill="1" applyBorder="1"/>
    <xf numFmtId="0" fontId="15" fillId="2" borderId="13" xfId="0" applyFont="1" applyFill="1" applyBorder="1"/>
    <xf numFmtId="0" fontId="15" fillId="2" borderId="11" xfId="0" applyFont="1" applyFill="1" applyBorder="1"/>
    <xf numFmtId="0" fontId="15" fillId="2" borderId="11" xfId="0" quotePrefix="1" applyFont="1" applyFill="1" applyBorder="1"/>
    <xf numFmtId="0" fontId="3" fillId="0" borderId="0" xfId="0" quotePrefix="1" applyFont="1"/>
    <xf numFmtId="0" fontId="8" fillId="2" borderId="12" xfId="0" applyFont="1" applyFill="1" applyBorder="1" applyAlignment="1">
      <alignment horizontal="left" indent="2"/>
    </xf>
    <xf numFmtId="167" fontId="8" fillId="2" borderId="13" xfId="1" applyNumberFormat="1" applyFont="1" applyFill="1" applyBorder="1"/>
    <xf numFmtId="168" fontId="8" fillId="2" borderId="13" xfId="3" applyNumberFormat="1" applyFont="1" applyFill="1" applyBorder="1"/>
    <xf numFmtId="0" fontId="8" fillId="2" borderId="0" xfId="0" applyFont="1" applyFill="1" applyAlignment="1">
      <alignment horizontal="left" indent="2"/>
    </xf>
    <xf numFmtId="168" fontId="0" fillId="0" borderId="0" xfId="0" applyNumberFormat="1"/>
    <xf numFmtId="0" fontId="3" fillId="11" borderId="0" xfId="0" applyFont="1" applyFill="1"/>
    <xf numFmtId="0" fontId="7" fillId="3" borderId="8" xfId="0" quotePrefix="1" applyFont="1" applyFill="1" applyBorder="1" applyAlignment="1">
      <alignment horizontal="center"/>
    </xf>
    <xf numFmtId="44" fontId="6" fillId="2" borderId="11" xfId="2" applyFont="1" applyFill="1" applyBorder="1"/>
    <xf numFmtId="0" fontId="6" fillId="2" borderId="11" xfId="0" quotePrefix="1" applyFont="1" applyFill="1" applyBorder="1"/>
    <xf numFmtId="0" fontId="8" fillId="8" borderId="18" xfId="0" applyFont="1" applyFill="1" applyBorder="1"/>
    <xf numFmtId="0" fontId="8" fillId="8" borderId="16" xfId="0" applyFont="1" applyFill="1" applyBorder="1"/>
    <xf numFmtId="0" fontId="8" fillId="8" borderId="19" xfId="0" applyFont="1" applyFill="1" applyBorder="1"/>
    <xf numFmtId="0" fontId="7" fillId="8" borderId="20" xfId="0" applyFont="1" applyFill="1" applyBorder="1"/>
    <xf numFmtId="0" fontId="0" fillId="0" borderId="12" xfId="0" applyBorder="1"/>
    <xf numFmtId="9" fontId="0" fillId="0" borderId="0" xfId="3" applyFont="1" applyFill="1" applyBorder="1"/>
    <xf numFmtId="0" fontId="0" fillId="11" borderId="11" xfId="0" applyFill="1" applyBorder="1"/>
    <xf numFmtId="43" fontId="0" fillId="11" borderId="11" xfId="1" applyFont="1" applyFill="1" applyBorder="1"/>
    <xf numFmtId="167" fontId="0" fillId="11" borderId="11" xfId="1" applyNumberFormat="1" applyFont="1" applyFill="1" applyBorder="1"/>
    <xf numFmtId="165" fontId="0" fillId="11" borderId="11" xfId="2" applyNumberFormat="1" applyFont="1" applyFill="1" applyBorder="1"/>
    <xf numFmtId="0" fontId="0" fillId="0" borderId="11" xfId="0" applyBorder="1"/>
    <xf numFmtId="164" fontId="0" fillId="7" borderId="11" xfId="1" applyNumberFormat="1" applyFont="1" applyFill="1" applyBorder="1"/>
    <xf numFmtId="0" fontId="3" fillId="2" borderId="11" xfId="0" applyFont="1" applyFill="1" applyBorder="1"/>
    <xf numFmtId="165" fontId="0" fillId="0" borderId="11" xfId="0" applyNumberFormat="1" applyBorder="1"/>
    <xf numFmtId="0" fontId="0" fillId="0" borderId="11" xfId="0" quotePrefix="1" applyBorder="1"/>
    <xf numFmtId="165" fontId="8" fillId="2" borderId="11" xfId="0" applyNumberFormat="1" applyFont="1" applyFill="1" applyBorder="1"/>
    <xf numFmtId="165" fontId="15" fillId="2" borderId="11" xfId="2" applyNumberFormat="1" applyFont="1" applyFill="1" applyBorder="1"/>
    <xf numFmtId="167" fontId="8" fillId="2" borderId="11" xfId="1" applyNumberFormat="1" applyFont="1" applyFill="1" applyBorder="1"/>
    <xf numFmtId="168" fontId="8" fillId="2" borderId="11" xfId="3" applyNumberFormat="1" applyFont="1" applyFill="1" applyBorder="1"/>
    <xf numFmtId="168" fontId="7" fillId="0" borderId="11" xfId="3" applyNumberFormat="1" applyFont="1" applyFill="1" applyBorder="1"/>
    <xf numFmtId="0" fontId="7" fillId="0" borderId="11" xfId="0" applyFont="1" applyBorder="1"/>
    <xf numFmtId="0" fontId="0" fillId="11" borderId="12" xfId="0" applyFill="1" applyBorder="1"/>
    <xf numFmtId="169" fontId="0" fillId="11" borderId="15" xfId="0" applyNumberFormat="1" applyFill="1" applyBorder="1"/>
    <xf numFmtId="0" fontId="0" fillId="11" borderId="13" xfId="0" applyFill="1" applyBorder="1"/>
    <xf numFmtId="0" fontId="0" fillId="11" borderId="15" xfId="0" applyFill="1" applyBorder="1"/>
    <xf numFmtId="165" fontId="0" fillId="11" borderId="15" xfId="2" applyNumberFormat="1" applyFont="1" applyFill="1" applyBorder="1"/>
    <xf numFmtId="0" fontId="3" fillId="7" borderId="12" xfId="0" applyFont="1" applyFill="1" applyBorder="1"/>
    <xf numFmtId="0" fontId="3" fillId="7" borderId="15" xfId="0" applyFont="1" applyFill="1" applyBorder="1"/>
    <xf numFmtId="0" fontId="3" fillId="7" borderId="13" xfId="0" applyFont="1" applyFill="1" applyBorder="1"/>
    <xf numFmtId="164" fontId="0" fillId="7" borderId="15" xfId="1" applyNumberFormat="1" applyFont="1" applyFill="1" applyBorder="1"/>
    <xf numFmtId="0" fontId="0" fillId="7" borderId="12" xfId="0" applyFill="1" applyBorder="1" applyAlignment="1">
      <alignment horizontal="left"/>
    </xf>
    <xf numFmtId="0" fontId="8" fillId="2" borderId="12" xfId="0" applyFont="1" applyFill="1" applyBorder="1"/>
    <xf numFmtId="0" fontId="13" fillId="2" borderId="12" xfId="0" applyFont="1" applyFill="1" applyBorder="1" applyAlignment="1">
      <alignment horizontal="left"/>
    </xf>
    <xf numFmtId="0" fontId="13" fillId="2" borderId="15" xfId="0" applyFont="1" applyFill="1" applyBorder="1"/>
    <xf numFmtId="168" fontId="13" fillId="2" borderId="13" xfId="3" applyNumberFormat="1" applyFont="1" applyFill="1" applyBorder="1"/>
    <xf numFmtId="0" fontId="13" fillId="2" borderId="12" xfId="0" applyFont="1" applyFill="1" applyBorder="1" applyAlignment="1">
      <alignment horizontal="left" indent="2"/>
    </xf>
    <xf numFmtId="0" fontId="13" fillId="2" borderId="13" xfId="0" applyFont="1" applyFill="1" applyBorder="1"/>
    <xf numFmtId="0" fontId="3" fillId="8" borderId="12" xfId="0" applyFont="1" applyFill="1" applyBorder="1"/>
    <xf numFmtId="0" fontId="3" fillId="8" borderId="15" xfId="0" applyFont="1" applyFill="1" applyBorder="1"/>
    <xf numFmtId="0" fontId="3" fillId="8" borderId="13" xfId="0" applyFont="1" applyFill="1" applyBorder="1"/>
    <xf numFmtId="0" fontId="15" fillId="2" borderId="12" xfId="0" applyFont="1" applyFill="1" applyBorder="1"/>
    <xf numFmtId="165" fontId="15" fillId="2" borderId="15" xfId="2" applyNumberFormat="1" applyFont="1" applyFill="1" applyBorder="1"/>
    <xf numFmtId="168" fontId="8" fillId="0" borderId="0" xfId="3" applyNumberFormat="1" applyFont="1" applyFill="1" applyBorder="1"/>
    <xf numFmtId="0" fontId="8" fillId="0" borderId="0" xfId="0" applyFont="1" applyAlignment="1">
      <alignment horizontal="left" indent="2"/>
    </xf>
    <xf numFmtId="165" fontId="0" fillId="2" borderId="1" xfId="2" applyNumberFormat="1" applyFont="1" applyFill="1" applyBorder="1"/>
    <xf numFmtId="0" fontId="8" fillId="0" borderId="5" xfId="0" applyFont="1" applyBorder="1" applyAlignment="1">
      <alignment horizontal="left" indent="2"/>
    </xf>
    <xf numFmtId="0" fontId="8" fillId="0" borderId="5" xfId="0" applyFont="1" applyBorder="1"/>
    <xf numFmtId="168" fontId="8" fillId="0" borderId="5" xfId="3" applyNumberFormat="1" applyFont="1" applyFill="1" applyBorder="1"/>
    <xf numFmtId="0" fontId="0" fillId="2" borderId="1" xfId="0" applyFill="1" applyBorder="1" applyAlignment="1">
      <alignment horizontal="left" indent="2"/>
    </xf>
    <xf numFmtId="0" fontId="0" fillId="5" borderId="6" xfId="1" applyNumberFormat="1" applyFont="1" applyFill="1" applyBorder="1" applyAlignment="1">
      <alignment horizontal="center"/>
    </xf>
    <xf numFmtId="9" fontId="0" fillId="5" borderId="6" xfId="3" applyFont="1" applyFill="1" applyBorder="1"/>
    <xf numFmtId="0" fontId="0" fillId="2" borderId="0" xfId="0" applyFill="1"/>
    <xf numFmtId="166" fontId="0" fillId="3" borderId="6" xfId="2" applyNumberFormat="1" applyFont="1" applyFill="1" applyBorder="1"/>
    <xf numFmtId="0" fontId="0" fillId="0" borderId="0" xfId="2" quotePrefix="1" applyNumberFormat="1" applyFont="1"/>
    <xf numFmtId="0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left"/>
    </xf>
    <xf numFmtId="0" fontId="0" fillId="3" borderId="6" xfId="0" applyFill="1" applyBorder="1"/>
    <xf numFmtId="0" fontId="0" fillId="5" borderId="6" xfId="0" applyFill="1" applyBorder="1"/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8" fillId="0" borderId="0" xfId="0" applyFont="1" applyAlignment="1">
      <alignment horizontal="center"/>
    </xf>
    <xf numFmtId="14" fontId="0" fillId="5" borderId="6" xfId="0" applyNumberFormat="1" applyFill="1" applyBorder="1"/>
    <xf numFmtId="169" fontId="0" fillId="0" borderId="0" xfId="0" applyNumberFormat="1"/>
    <xf numFmtId="165" fontId="0" fillId="0" borderId="0" xfId="0" applyNumberFormat="1"/>
    <xf numFmtId="0" fontId="0" fillId="7" borderId="0" xfId="0" applyFill="1"/>
    <xf numFmtId="10" fontId="0" fillId="5" borderId="6" xfId="0" applyNumberFormat="1" applyFill="1" applyBorder="1"/>
    <xf numFmtId="0" fontId="0" fillId="0" borderId="1" xfId="0" applyBorder="1"/>
    <xf numFmtId="0" fontId="2" fillId="0" borderId="0" xfId="4" applyFill="1"/>
    <xf numFmtId="9" fontId="0" fillId="3" borderId="9" xfId="0" applyNumberFormat="1" applyFill="1" applyBorder="1"/>
    <xf numFmtId="164" fontId="0" fillId="4" borderId="0" xfId="0" applyNumberFormat="1" applyFill="1"/>
    <xf numFmtId="164" fontId="0" fillId="0" borderId="0" xfId="0" applyNumberFormat="1"/>
    <xf numFmtId="164" fontId="0" fillId="7" borderId="13" xfId="0" applyNumberFormat="1" applyFill="1" applyBorder="1"/>
    <xf numFmtId="0" fontId="0" fillId="11" borderId="1" xfId="0" quotePrefix="1" applyFill="1" applyBorder="1"/>
    <xf numFmtId="170" fontId="0" fillId="0" borderId="0" xfId="0" applyNumberFormat="1"/>
    <xf numFmtId="6" fontId="0" fillId="3" borderId="7" xfId="0" applyNumberFormat="1" applyFill="1" applyBorder="1"/>
    <xf numFmtId="174" fontId="0" fillId="3" borderId="7" xfId="0" applyNumberFormat="1" applyFill="1" applyBorder="1"/>
    <xf numFmtId="10" fontId="0" fillId="3" borderId="6" xfId="0" applyNumberFormat="1" applyFill="1" applyBorder="1"/>
    <xf numFmtId="6" fontId="0" fillId="3" borderId="6" xfId="0" applyNumberFormat="1" applyFill="1" applyBorder="1"/>
    <xf numFmtId="165" fontId="0" fillId="11" borderId="1" xfId="0" applyNumberFormat="1" applyFill="1" applyBorder="1"/>
    <xf numFmtId="6" fontId="0" fillId="5" borderId="6" xfId="0" applyNumberFormat="1" applyFill="1" applyBorder="1"/>
    <xf numFmtId="0" fontId="0" fillId="2" borderId="1" xfId="0" quotePrefix="1" applyFill="1" applyBorder="1"/>
    <xf numFmtId="0" fontId="12" fillId="2" borderId="11" xfId="0" applyFont="1" applyFill="1" applyBorder="1"/>
    <xf numFmtId="168" fontId="12" fillId="2" borderId="11" xfId="3" applyNumberFormat="1" applyFont="1" applyFill="1" applyBorder="1"/>
    <xf numFmtId="168" fontId="0" fillId="2" borderId="11" xfId="3" applyNumberFormat="1" applyFont="1" applyFill="1" applyBorder="1"/>
    <xf numFmtId="0" fontId="0" fillId="2" borderId="11" xfId="0" applyFill="1" applyBorder="1"/>
    <xf numFmtId="10" fontId="8" fillId="0" borderId="0" xfId="3" applyNumberFormat="1" applyFont="1" applyFill="1" applyBorder="1"/>
    <xf numFmtId="0" fontId="8" fillId="9" borderId="0" xfId="0" applyFont="1" applyFill="1"/>
    <xf numFmtId="10" fontId="8" fillId="9" borderId="0" xfId="3" applyNumberFormat="1" applyFont="1" applyFill="1" applyBorder="1"/>
    <xf numFmtId="165" fontId="0" fillId="9" borderId="14" xfId="2" applyNumberFormat="1" applyFont="1" applyFill="1" applyBorder="1"/>
    <xf numFmtId="165" fontId="0" fillId="9" borderId="11" xfId="2" applyNumberFormat="1" applyFont="1" applyFill="1" applyBorder="1"/>
    <xf numFmtId="165" fontId="0" fillId="9" borderId="13" xfId="2" applyNumberFormat="1" applyFont="1" applyFill="1" applyBorder="1"/>
    <xf numFmtId="165" fontId="0" fillId="9" borderId="11" xfId="2" quotePrefix="1" applyNumberFormat="1" applyFont="1" applyFill="1" applyBorder="1"/>
    <xf numFmtId="0" fontId="0" fillId="9" borderId="13" xfId="0" applyFill="1" applyBorder="1"/>
    <xf numFmtId="44" fontId="0" fillId="9" borderId="13" xfId="2" applyFont="1" applyFill="1" applyBorder="1"/>
    <xf numFmtId="0" fontId="0" fillId="9" borderId="11" xfId="0" quotePrefix="1" applyFill="1" applyBorder="1"/>
    <xf numFmtId="9" fontId="0" fillId="5" borderId="6" xfId="0" applyNumberFormat="1" applyFill="1" applyBorder="1"/>
    <xf numFmtId="10" fontId="8" fillId="9" borderId="13" xfId="3" applyNumberFormat="1" applyFont="1" applyFill="1" applyBorder="1"/>
    <xf numFmtId="10" fontId="8" fillId="9" borderId="11" xfId="3" applyNumberFormat="1" applyFont="1" applyFill="1" applyBorder="1"/>
    <xf numFmtId="10" fontId="8" fillId="9" borderId="17" xfId="3" applyNumberFormat="1" applyFont="1" applyFill="1" applyBorder="1"/>
    <xf numFmtId="167" fontId="0" fillId="9" borderId="13" xfId="1" applyNumberFormat="1" applyFont="1" applyFill="1" applyBorder="1" applyAlignment="1">
      <alignment horizontal="right"/>
    </xf>
    <xf numFmtId="0" fontId="0" fillId="9" borderId="11" xfId="0" applyFill="1" applyBorder="1"/>
    <xf numFmtId="10" fontId="8" fillId="9" borderId="15" xfId="3" applyNumberFormat="1" applyFont="1" applyFill="1" applyBorder="1"/>
    <xf numFmtId="167" fontId="0" fillId="9" borderId="13" xfId="1" applyNumberFormat="1" applyFont="1" applyFill="1" applyBorder="1" applyAlignment="1">
      <alignment horizontal="right" indent="1"/>
    </xf>
    <xf numFmtId="0" fontId="0" fillId="8" borderId="0" xfId="0" applyFill="1"/>
    <xf numFmtId="0" fontId="0" fillId="0" borderId="15" xfId="0" applyBorder="1"/>
    <xf numFmtId="0" fontId="0" fillId="0" borderId="13" xfId="0" applyBorder="1"/>
    <xf numFmtId="171" fontId="0" fillId="8" borderId="17" xfId="1" applyNumberFormat="1" applyFont="1" applyFill="1" applyBorder="1"/>
    <xf numFmtId="0" fontId="0" fillId="8" borderId="21" xfId="0" applyFill="1" applyBorder="1"/>
    <xf numFmtId="43" fontId="0" fillId="8" borderId="15" xfId="1" applyFont="1" applyFill="1" applyBorder="1"/>
    <xf numFmtId="0" fontId="0" fillId="8" borderId="13" xfId="0" applyFill="1" applyBorder="1"/>
    <xf numFmtId="164" fontId="8" fillId="8" borderId="13" xfId="1" applyNumberFormat="1" applyFont="1" applyFill="1" applyBorder="1"/>
    <xf numFmtId="167" fontId="8" fillId="8" borderId="13" xfId="1" applyNumberFormat="1" applyFont="1" applyFill="1" applyBorder="1"/>
    <xf numFmtId="164" fontId="0" fillId="8" borderId="16" xfId="1" applyNumberFormat="1" applyFont="1" applyFill="1" applyBorder="1"/>
    <xf numFmtId="0" fontId="2" fillId="10" borderId="0" xfId="4" applyFill="1"/>
    <xf numFmtId="0" fontId="0" fillId="10" borderId="0" xfId="0" applyFill="1" applyAlignment="1">
      <alignment horizontal="left"/>
    </xf>
    <xf numFmtId="0" fontId="0" fillId="9" borderId="0" xfId="0" applyFill="1"/>
    <xf numFmtId="165" fontId="0" fillId="0" borderId="0" xfId="2" applyNumberFormat="1" applyFont="1" applyFill="1"/>
    <xf numFmtId="0" fontId="2" fillId="0" borderId="0" xfId="4" applyNumberFormat="1" applyFill="1"/>
    <xf numFmtId="9" fontId="0" fillId="7" borderId="13" xfId="3" applyFont="1" applyFill="1" applyBorder="1" applyAlignment="1">
      <alignment horizontal="right"/>
    </xf>
    <xf numFmtId="165" fontId="3" fillId="11" borderId="0" xfId="2" applyNumberFormat="1" applyFont="1" applyFill="1" applyBorder="1"/>
    <xf numFmtId="0" fontId="3" fillId="0" borderId="0" xfId="2" applyNumberFormat="1" applyFont="1"/>
    <xf numFmtId="0" fontId="0" fillId="0" borderId="5" xfId="0" applyBorder="1"/>
    <xf numFmtId="165" fontId="15" fillId="2" borderId="13" xfId="2" applyNumberFormat="1" applyFont="1" applyFill="1" applyBorder="1"/>
    <xf numFmtId="0" fontId="15" fillId="0" borderId="0" xfId="0" applyFont="1"/>
    <xf numFmtId="175" fontId="0" fillId="0" borderId="0" xfId="0" applyNumberFormat="1" applyAlignment="1">
      <alignment horizontal="center"/>
    </xf>
    <xf numFmtId="44" fontId="0" fillId="11" borderId="1" xfId="2" applyFont="1" applyFill="1" applyBorder="1"/>
    <xf numFmtId="175" fontId="0" fillId="0" borderId="0" xfId="0" applyNumberFormat="1" applyAlignment="1">
      <alignment horizontal="right"/>
    </xf>
    <xf numFmtId="9" fontId="0" fillId="3" borderId="6" xfId="3" applyFont="1" applyFill="1" applyBorder="1"/>
    <xf numFmtId="44" fontId="0" fillId="0" borderId="2" xfId="2" quotePrefix="1" applyFont="1" applyBorder="1"/>
    <xf numFmtId="166" fontId="0" fillId="0" borderId="0" xfId="2" applyNumberFormat="1" applyFont="1" applyFill="1" applyBorder="1"/>
    <xf numFmtId="9" fontId="0" fillId="0" borderId="0" xfId="3" applyFont="1" applyAlignment="1">
      <alignment horizontal="right"/>
    </xf>
    <xf numFmtId="0" fontId="0" fillId="2" borderId="0" xfId="0" quotePrefix="1" applyFill="1"/>
    <xf numFmtId="165" fontId="0" fillId="2" borderId="0" xfId="2" applyNumberFormat="1" applyFont="1" applyFill="1" applyBorder="1"/>
    <xf numFmtId="0" fontId="0" fillId="2" borderId="0" xfId="0" applyFill="1" applyAlignment="1">
      <alignment horizontal="left" indent="2"/>
    </xf>
    <xf numFmtId="6" fontId="0" fillId="2" borderId="0" xfId="0" applyNumberFormat="1" applyFill="1"/>
    <xf numFmtId="165" fontId="8" fillId="2" borderId="13" xfId="0" applyNumberFormat="1" applyFont="1" applyFill="1" applyBorder="1"/>
    <xf numFmtId="0" fontId="8" fillId="2" borderId="13" xfId="0" quotePrefix="1" applyFont="1" applyFill="1" applyBorder="1"/>
    <xf numFmtId="2" fontId="0" fillId="0" borderId="0" xfId="1" applyNumberFormat="1" applyFont="1" applyFill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 textRotation="90"/>
    </xf>
    <xf numFmtId="9" fontId="0" fillId="0" borderId="0" xfId="3" applyFont="1" applyFill="1" applyBorder="1" applyAlignment="1">
      <alignment horizontal="center"/>
    </xf>
    <xf numFmtId="0" fontId="0" fillId="4" borderId="23" xfId="0" applyFill="1" applyBorder="1"/>
    <xf numFmtId="0" fontId="0" fillId="4" borderId="3" xfId="0" applyFill="1" applyBorder="1"/>
    <xf numFmtId="9" fontId="0" fillId="0" borderId="9" xfId="3" applyFont="1" applyFill="1" applyBorder="1" applyAlignment="1">
      <alignment horizontal="center"/>
    </xf>
    <xf numFmtId="9" fontId="0" fillId="0" borderId="0" xfId="3" applyFont="1" applyFill="1" applyBorder="1" applyAlignment="1">
      <alignment horizontal="left"/>
    </xf>
    <xf numFmtId="0" fontId="16" fillId="0" borderId="0" xfId="0" applyFont="1"/>
    <xf numFmtId="2" fontId="0" fillId="4" borderId="22" xfId="1" applyNumberFormat="1" applyFont="1" applyFill="1" applyBorder="1" applyAlignment="1">
      <alignment horizontal="center"/>
    </xf>
    <xf numFmtId="2" fontId="0" fillId="4" borderId="4" xfId="1" applyNumberFormat="1" applyFont="1" applyFill="1" applyBorder="1" applyAlignment="1">
      <alignment horizontal="center"/>
    </xf>
    <xf numFmtId="2" fontId="0" fillId="0" borderId="0" xfId="1" applyNumberFormat="1" applyFont="1" applyAlignment="1">
      <alignment horizontal="center"/>
    </xf>
    <xf numFmtId="2" fontId="0" fillId="5" borderId="24" xfId="1" applyNumberFormat="1" applyFont="1" applyFill="1" applyBorder="1" applyAlignment="1">
      <alignment horizontal="center"/>
    </xf>
    <xf numFmtId="2" fontId="0" fillId="5" borderId="4" xfId="1" applyNumberFormat="1" applyFont="1" applyFill="1" applyBorder="1" applyAlignment="1">
      <alignment horizontal="center"/>
    </xf>
    <xf numFmtId="2" fontId="0" fillId="0" borderId="4" xfId="1" applyNumberFormat="1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left"/>
    </xf>
    <xf numFmtId="0" fontId="9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164" fontId="17" fillId="0" borderId="0" xfId="1" applyNumberFormat="1" applyFont="1"/>
    <xf numFmtId="43" fontId="17" fillId="0" borderId="0" xfId="1" applyFont="1" applyFill="1" applyBorder="1"/>
    <xf numFmtId="0" fontId="17" fillId="0" borderId="0" xfId="0" applyFont="1"/>
    <xf numFmtId="0" fontId="17" fillId="0" borderId="0" xfId="1" applyNumberFormat="1" applyFont="1" applyBorder="1" applyAlignment="1">
      <alignment horizontal="left"/>
    </xf>
    <xf numFmtId="1" fontId="0" fillId="0" borderId="0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</cellXfs>
  <cellStyles count="6">
    <cellStyle name="Comma" xfId="1" builtinId="3"/>
    <cellStyle name="Comma 2" xfId="5" xr:uid="{997E7F62-E0DA-4CD5-9305-8FF3856FFA94}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Direktverbrauchsquote!$D$77</c:f>
              <c:strCache>
                <c:ptCount val="1"/>
                <c:pt idx="0">
                  <c:v>BA = 0,5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Direktverbrauchsquote!$D$78:$D$82</c:f>
              <c:numCache>
                <c:formatCode>0%</c:formatCode>
                <c:ptCount val="5"/>
                <c:pt idx="0">
                  <c:v>0.66800000000000004</c:v>
                </c:pt>
                <c:pt idx="1">
                  <c:v>0.77300000000000002</c:v>
                </c:pt>
                <c:pt idx="2">
                  <c:v>0.83399999999999996</c:v>
                </c:pt>
                <c:pt idx="3">
                  <c:v>0.89300000000000002</c:v>
                </c:pt>
                <c:pt idx="4">
                  <c:v>0.89900000000000002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B-4E35-91FF-58184426E8DB}"/>
            </c:ext>
          </c:extLst>
        </c:ser>
        <c:ser>
          <c:idx val="1"/>
          <c:order val="1"/>
          <c:tx>
            <c:strRef>
              <c:f>Direktverbrauchsquote!$E$77</c:f>
              <c:strCache>
                <c:ptCount val="1"/>
                <c:pt idx="0">
                  <c:v>BA = 0,75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Direktverbrauchsquote!$E$78:$E$82</c:f>
              <c:numCache>
                <c:formatCode>0%</c:formatCode>
                <c:ptCount val="5"/>
                <c:pt idx="0">
                  <c:v>0.51500000000000001</c:v>
                </c:pt>
                <c:pt idx="1">
                  <c:v>0.60499999999999998</c:v>
                </c:pt>
                <c:pt idx="2">
                  <c:v>0.66800000000000004</c:v>
                </c:pt>
                <c:pt idx="3">
                  <c:v>0.73399999999999999</c:v>
                </c:pt>
                <c:pt idx="4">
                  <c:v>0.748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B-4E35-91FF-58184426E8DB}"/>
            </c:ext>
          </c:extLst>
        </c:ser>
        <c:ser>
          <c:idx val="2"/>
          <c:order val="2"/>
          <c:tx>
            <c:strRef>
              <c:f>Direktverbrauchsquote!$F$77</c:f>
              <c:strCache>
                <c:ptCount val="1"/>
                <c:pt idx="0">
                  <c:v>BA = 1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Direktverbrauchsquote!$F$78:$F$82</c:f>
              <c:numCache>
                <c:formatCode>0%</c:formatCode>
                <c:ptCount val="5"/>
                <c:pt idx="0">
                  <c:v>0.41799999999999998</c:v>
                </c:pt>
                <c:pt idx="1">
                  <c:v>0.49299999999999999</c:v>
                </c:pt>
                <c:pt idx="2">
                  <c:v>0.55000000000000004</c:v>
                </c:pt>
                <c:pt idx="3">
                  <c:v>0.61199999999999999</c:v>
                </c:pt>
                <c:pt idx="4">
                  <c:v>0.625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B-4E35-91FF-58184426E8DB}"/>
            </c:ext>
          </c:extLst>
        </c:ser>
        <c:ser>
          <c:idx val="3"/>
          <c:order val="3"/>
          <c:tx>
            <c:strRef>
              <c:f>Direktverbrauchsquote!$G$77</c:f>
              <c:strCache>
                <c:ptCount val="1"/>
                <c:pt idx="0">
                  <c:v>BA = 1,25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Direktverbrauchsquote!$G$78:$G$82</c:f>
              <c:numCache>
                <c:formatCode>0%</c:formatCode>
                <c:ptCount val="5"/>
                <c:pt idx="0">
                  <c:v>0.35199999999999998</c:v>
                </c:pt>
                <c:pt idx="1">
                  <c:v>0.41499999999999998</c:v>
                </c:pt>
                <c:pt idx="2">
                  <c:v>0.46600000000000003</c:v>
                </c:pt>
                <c:pt idx="3">
                  <c:v>0.52200000000000002</c:v>
                </c:pt>
                <c:pt idx="4">
                  <c:v>0.53100000000000003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4B-4E35-91FF-58184426E8DB}"/>
            </c:ext>
          </c:extLst>
        </c:ser>
        <c:ser>
          <c:idx val="4"/>
          <c:order val="4"/>
          <c:tx>
            <c:strRef>
              <c:f>Direktverbrauchsquote!$H$77</c:f>
              <c:strCache>
                <c:ptCount val="1"/>
                <c:pt idx="0">
                  <c:v>BA = 1,5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Direktverbrauchsquote!$C$78:$C$82</c:f>
              <c:numCache>
                <c:formatCode>0.00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1</c:v>
                </c:pt>
                <c:pt idx="4">
                  <c:v>2</c:v>
                </c:pt>
              </c:numCache>
            </c:numRef>
          </c:cat>
          <c:val>
            <c:numRef>
              <c:f>Direktverbrauchsquote!$H$78:$H$82</c:f>
              <c:numCache>
                <c:formatCode>0%</c:formatCode>
                <c:ptCount val="5"/>
                <c:pt idx="0">
                  <c:v>0.30399999999999999</c:v>
                </c:pt>
                <c:pt idx="1">
                  <c:v>0.35899999999999999</c:v>
                </c:pt>
                <c:pt idx="2">
                  <c:v>0.40400000000000003</c:v>
                </c:pt>
                <c:pt idx="3">
                  <c:v>0.45500000000000002</c:v>
                </c:pt>
                <c:pt idx="4">
                  <c:v>0.46100000000000002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4B-4E35-91FF-58184426E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8173856"/>
        <c:axId val="1836880064"/>
      </c:lineChart>
      <c:catAx>
        <c:axId val="2108173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Speicher-Verbrauchsquotient (SVQ)</a:t>
                </a:r>
              </a:p>
            </c:rich>
          </c:tx>
          <c:layout>
            <c:manualLayout>
              <c:xMode val="edge"/>
              <c:yMode val="edge"/>
              <c:x val="0.42684315574759285"/>
              <c:y val="0.63956679011509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880064"/>
        <c:crosses val="autoZero"/>
        <c:auto val="1"/>
        <c:lblAlgn val="ctr"/>
        <c:lblOffset val="100"/>
        <c:noMultiLvlLbl val="0"/>
      </c:catAx>
      <c:valAx>
        <c:axId val="183688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Direktverbrauchsquote (DVQ)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1738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7</xdr:row>
      <xdr:rowOff>14287</xdr:rowOff>
    </xdr:from>
    <xdr:to>
      <xdr:col>9</xdr:col>
      <xdr:colOff>0</xdr:colOff>
      <xdr:row>30</xdr:row>
      <xdr:rowOff>180975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0580DC7-4D30-285A-E622-CB4DF5E47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38099</xdr:rowOff>
    </xdr:from>
    <xdr:to>
      <xdr:col>2</xdr:col>
      <xdr:colOff>285750</xdr:colOff>
      <xdr:row>18</xdr:row>
      <xdr:rowOff>47624</xdr:rowOff>
    </xdr:to>
    <xdr:sp macro="" textlink="">
      <xdr:nvSpPr>
        <xdr:cNvPr id="2" name="Speech Bubble: Rectangle with Corners Rounded 1">
          <a:extLst>
            <a:ext uri="{FF2B5EF4-FFF2-40B4-BE49-F238E27FC236}">
              <a16:creationId xmlns:a16="http://schemas.microsoft.com/office/drawing/2014/main" id="{893160F6-B475-446D-A2F8-5E3CCC7A01CF}"/>
            </a:ext>
          </a:extLst>
        </xdr:cNvPr>
        <xdr:cNvSpPr/>
      </xdr:nvSpPr>
      <xdr:spPr>
        <a:xfrm>
          <a:off x="3705225" y="3086099"/>
          <a:ext cx="1133475" cy="390525"/>
        </a:xfrm>
        <a:prstGeom prst="wedgeRoundRectCallout">
          <a:avLst>
            <a:gd name="adj1" fmla="val 4378"/>
            <a:gd name="adj2" fmla="val -39828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15</xdr:row>
      <xdr:rowOff>85725</xdr:rowOff>
    </xdr:from>
    <xdr:to>
      <xdr:col>3</xdr:col>
      <xdr:colOff>0</xdr:colOff>
      <xdr:row>19</xdr:row>
      <xdr:rowOff>9525</xdr:rowOff>
    </xdr:to>
    <xdr:sp macro="" textlink="">
      <xdr:nvSpPr>
        <xdr:cNvPr id="3" name="Speech Bubble: Rectangle with Corners Rounded 2">
          <a:extLst>
            <a:ext uri="{FF2B5EF4-FFF2-40B4-BE49-F238E27FC236}">
              <a16:creationId xmlns:a16="http://schemas.microsoft.com/office/drawing/2014/main" id="{88541701-608F-44B0-B51E-8A0813810D03}"/>
            </a:ext>
          </a:extLst>
        </xdr:cNvPr>
        <xdr:cNvSpPr/>
      </xdr:nvSpPr>
      <xdr:spPr>
        <a:xfrm>
          <a:off x="19050" y="2943225"/>
          <a:ext cx="2781300" cy="685800"/>
        </a:xfrm>
        <a:prstGeom prst="wedgeRoundRectCallout">
          <a:avLst>
            <a:gd name="adj1" fmla="val 94993"/>
            <a:gd name="adj2" fmla="val 18762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Die Rendite so verstellen, dass das Kapital nach 20 Jahren aufgebraucht ist.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DD13EB-6314-448C-A2CC-06F9FBB94445}" name="Table1" displayName="Table1" ref="B2:B8" totalsRowShown="0">
  <autoFilter ref="B2:B8" xr:uid="{BEDD13EB-6314-448C-A2CC-06F9FBB94445}"/>
  <tableColumns count="1">
    <tableColumn id="1" xr3:uid="{6AA76ACD-6301-446A-B9C9-4DC6B9412BD1}" name="Betriebsmodel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wald.de/waldwissen/wie-viel-kohlendioxid-co2-speichert-der-wald-bzw-ein-baum/" TargetMode="External"/><Relationship Id="rId7" Type="http://schemas.openxmlformats.org/officeDocument/2006/relationships/hyperlink" Target="https://pv4wegs.de/" TargetMode="External"/><Relationship Id="rId2" Type="http://schemas.openxmlformats.org/officeDocument/2006/relationships/hyperlink" Target="https://www.umweltbundesamt.de/bild/durchschnittlicher-co2-fussabdruck-pro-kopf-in" TargetMode="External"/><Relationship Id="rId1" Type="http://schemas.openxmlformats.org/officeDocument/2006/relationships/hyperlink" Target="https://www.ffe.de/veroeffentlichungen/umweltbilanz-von-elektrofahrzeugen-potenziale-der-kreislaufwirtschaft/" TargetMode="External"/><Relationship Id="rId6" Type="http://schemas.openxmlformats.org/officeDocument/2006/relationships/hyperlink" Target="https://www.verivox.de/strom/" TargetMode="External"/><Relationship Id="rId5" Type="http://schemas.openxmlformats.org/officeDocument/2006/relationships/hyperlink" Target="https://assets.ctfassets.net/xytfb1vrn7of/fEyKny9vSL0zsgtzvGjiv/6f6fe41313fa7b200ed51694c32dc96c/messpreise-fuer-einspeiser-nach-dem-kraft-waerme-kopplungsgesetz-2022.pdf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www.umweltbundesamt.de/themen/klima-energie/erneuerbare-energien/photovoltaik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re.jrc.ec.europa.eu/pvg_tools/e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olarwirtschaft.de/datawall/uploads/2023/01/bsw_verguetungssaetze_aktuell.pdf" TargetMode="External"/><Relationship Id="rId1" Type="http://schemas.openxmlformats.org/officeDocument/2006/relationships/hyperlink" Target="https://www.solarwirtschaft.de/datawall/uploads/2023/01/bsw_verguetungssaetze_aktuell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AC8A-51DB-44CC-87D2-D10984CED971}">
  <dimension ref="A1:N104"/>
  <sheetViews>
    <sheetView tabSelected="1" zoomScale="85" zoomScaleNormal="85" workbookViewId="0">
      <pane ySplit="6" topLeftCell="A47" activePane="bottomLeft" state="frozen"/>
      <selection pane="bottomLeft" activeCell="N2" sqref="N2"/>
    </sheetView>
  </sheetViews>
  <sheetFormatPr defaultRowHeight="15" outlineLevelCol="1" x14ac:dyDescent="0.25"/>
  <cols>
    <col min="1" max="1" width="5.28515625" customWidth="1"/>
    <col min="2" max="2" width="41.42578125" customWidth="1"/>
    <col min="3" max="3" width="15.42578125" customWidth="1"/>
    <col min="4" max="4" width="24.42578125" customWidth="1"/>
    <col min="5" max="6" width="20.7109375" customWidth="1"/>
    <col min="7" max="11" width="20.7109375" hidden="1" customWidth="1" outlineLevel="1"/>
    <col min="12" max="12" width="19.7109375" customWidth="1" collapsed="1"/>
    <col min="13" max="13" width="4.140625" customWidth="1"/>
    <col min="14" max="14" width="60.5703125" customWidth="1"/>
  </cols>
  <sheetData>
    <row r="1" spans="1:14" ht="15.75" thickBot="1" x14ac:dyDescent="0.3">
      <c r="A1" s="92" t="s">
        <v>124</v>
      </c>
      <c r="B1" s="81"/>
      <c r="C1" s="81"/>
      <c r="D1" s="204" t="s">
        <v>78</v>
      </c>
      <c r="E1" s="32"/>
      <c r="F1" s="32"/>
      <c r="G1" s="32"/>
      <c r="H1" s="32"/>
      <c r="I1" s="32"/>
      <c r="J1" s="32"/>
      <c r="K1" s="32"/>
      <c r="N1" s="81" t="s">
        <v>257</v>
      </c>
    </row>
    <row r="2" spans="1:14" x14ac:dyDescent="0.25">
      <c r="A2" t="s">
        <v>199</v>
      </c>
      <c r="E2" t="s">
        <v>142</v>
      </c>
      <c r="N2" s="81" t="s">
        <v>191</v>
      </c>
    </row>
    <row r="3" spans="1:14" x14ac:dyDescent="0.25">
      <c r="N3" s="262" t="s">
        <v>200</v>
      </c>
    </row>
    <row r="4" spans="1:14" ht="19.5" thickBot="1" x14ac:dyDescent="0.35">
      <c r="A4" s="4" t="s">
        <v>54</v>
      </c>
      <c r="E4" s="83" t="s">
        <v>137</v>
      </c>
      <c r="F4" s="83" t="s">
        <v>138</v>
      </c>
      <c r="G4" s="83" t="s">
        <v>139</v>
      </c>
      <c r="H4" s="83" t="s">
        <v>140</v>
      </c>
      <c r="I4" s="83" t="s">
        <v>176</v>
      </c>
      <c r="J4" s="83" t="s">
        <v>177</v>
      </c>
      <c r="K4" s="83" t="s">
        <v>178</v>
      </c>
      <c r="N4" s="81" t="s">
        <v>194</v>
      </c>
    </row>
    <row r="5" spans="1:14" ht="15.75" thickBot="1" x14ac:dyDescent="0.3">
      <c r="B5" t="s">
        <v>93</v>
      </c>
      <c r="C5" s="205" t="s">
        <v>94</v>
      </c>
      <c r="E5" s="206" t="s">
        <v>179</v>
      </c>
      <c r="F5" s="206" t="s">
        <v>180</v>
      </c>
      <c r="G5" s="206" t="s">
        <v>180</v>
      </c>
      <c r="H5" s="206" t="s">
        <v>180</v>
      </c>
      <c r="I5" s="206" t="s">
        <v>180</v>
      </c>
      <c r="J5" s="206" t="s">
        <v>180</v>
      </c>
      <c r="K5" s="206" t="s">
        <v>180</v>
      </c>
      <c r="N5" s="263" t="s">
        <v>192</v>
      </c>
    </row>
    <row r="6" spans="1:14" ht="15.75" thickBot="1" x14ac:dyDescent="0.3">
      <c r="C6" s="82"/>
      <c r="E6" s="207" t="s">
        <v>168</v>
      </c>
      <c r="F6" s="207" t="s">
        <v>168</v>
      </c>
      <c r="G6" s="207" t="s">
        <v>170</v>
      </c>
      <c r="H6" s="207" t="s">
        <v>172</v>
      </c>
      <c r="I6" s="207" t="s">
        <v>171</v>
      </c>
      <c r="J6" s="207" t="s">
        <v>169</v>
      </c>
      <c r="K6" s="207" t="s">
        <v>7</v>
      </c>
    </row>
    <row r="7" spans="1:14" ht="15.75" thickBot="1" x14ac:dyDescent="0.3">
      <c r="B7" t="s">
        <v>96</v>
      </c>
      <c r="C7" s="197">
        <v>59</v>
      </c>
      <c r="D7" s="32" t="s">
        <v>97</v>
      </c>
      <c r="E7" s="83">
        <f>$C7</f>
        <v>59</v>
      </c>
      <c r="F7" s="83">
        <f t="shared" ref="F7:K7" si="0">$C7</f>
        <v>59</v>
      </c>
      <c r="G7" s="83">
        <f t="shared" si="0"/>
        <v>59</v>
      </c>
      <c r="H7" s="83">
        <f t="shared" si="0"/>
        <v>59</v>
      </c>
      <c r="I7" s="83">
        <f t="shared" si="0"/>
        <v>59</v>
      </c>
      <c r="J7" s="83">
        <f t="shared" si="0"/>
        <v>59</v>
      </c>
      <c r="K7" s="83">
        <f t="shared" si="0"/>
        <v>59</v>
      </c>
      <c r="L7" s="32" t="s">
        <v>97</v>
      </c>
      <c r="N7" s="32"/>
    </row>
    <row r="8" spans="1:14" ht="15.75" thickBot="1" x14ac:dyDescent="0.3">
      <c r="C8" s="202"/>
      <c r="D8" s="32"/>
      <c r="E8" s="83"/>
      <c r="F8" s="83"/>
      <c r="G8" s="83"/>
      <c r="H8" s="83"/>
      <c r="I8" s="83"/>
      <c r="J8" s="83"/>
      <c r="K8" s="83"/>
      <c r="L8" s="32"/>
    </row>
    <row r="9" spans="1:14" ht="19.5" thickBot="1" x14ac:dyDescent="0.35">
      <c r="A9" s="4" t="s">
        <v>167</v>
      </c>
      <c r="C9" s="203" t="s">
        <v>174</v>
      </c>
      <c r="D9" s="32"/>
      <c r="E9" s="208" t="s">
        <v>168</v>
      </c>
      <c r="F9" s="208" t="s">
        <v>168</v>
      </c>
      <c r="G9" s="208" t="s">
        <v>170</v>
      </c>
      <c r="H9" s="208" t="s">
        <v>172</v>
      </c>
      <c r="I9" s="208" t="s">
        <v>171</v>
      </c>
      <c r="J9" s="208" t="s">
        <v>169</v>
      </c>
      <c r="K9" s="208" t="s">
        <v>7</v>
      </c>
      <c r="L9" s="32"/>
    </row>
    <row r="10" spans="1:14" x14ac:dyDescent="0.25">
      <c r="C10" s="82"/>
      <c r="E10" s="209"/>
      <c r="F10" s="209"/>
      <c r="G10" s="209"/>
      <c r="H10" s="209"/>
      <c r="I10" s="209"/>
      <c r="J10" s="209"/>
      <c r="K10" s="209"/>
    </row>
    <row r="11" spans="1:14" ht="19.5" thickBot="1" x14ac:dyDescent="0.35">
      <c r="A11" s="4" t="s">
        <v>27</v>
      </c>
    </row>
    <row r="12" spans="1:14" ht="15.75" thickBot="1" x14ac:dyDescent="0.3">
      <c r="B12" t="s">
        <v>55</v>
      </c>
      <c r="C12" s="210">
        <v>46143</v>
      </c>
      <c r="E12" s="37"/>
      <c r="F12" s="37"/>
      <c r="G12" s="37"/>
      <c r="H12" s="37"/>
      <c r="I12" s="37"/>
      <c r="J12" s="37"/>
      <c r="K12" s="37"/>
      <c r="N12" t="s">
        <v>56</v>
      </c>
    </row>
    <row r="13" spans="1:14" ht="15.75" thickBot="1" x14ac:dyDescent="0.3">
      <c r="B13" t="s">
        <v>98</v>
      </c>
      <c r="C13" s="211"/>
      <c r="E13" s="40">
        <v>60</v>
      </c>
      <c r="F13" s="40">
        <v>95.5</v>
      </c>
      <c r="G13" s="40">
        <v>95.5</v>
      </c>
      <c r="H13" s="40">
        <v>95.5</v>
      </c>
      <c r="I13" s="40">
        <v>95.5</v>
      </c>
      <c r="J13" s="40">
        <v>95.5</v>
      </c>
      <c r="K13" s="40">
        <v>95.5</v>
      </c>
      <c r="L13" t="s">
        <v>0</v>
      </c>
    </row>
    <row r="14" spans="1:14" ht="15.75" thickBot="1" x14ac:dyDescent="0.3">
      <c r="B14" t="s">
        <v>23</v>
      </c>
      <c r="E14" s="40"/>
      <c r="F14" s="40"/>
      <c r="G14" s="40"/>
      <c r="H14" s="40"/>
      <c r="I14" s="40"/>
      <c r="J14" s="40"/>
      <c r="K14" s="40"/>
      <c r="L14" t="s">
        <v>10</v>
      </c>
    </row>
    <row r="16" spans="1:14" s="4" customFormat="1" ht="19.5" thickBot="1" x14ac:dyDescent="0.35">
      <c r="A16" s="4" t="s">
        <v>9</v>
      </c>
      <c r="C16"/>
      <c r="D16"/>
      <c r="E16"/>
      <c r="F16"/>
      <c r="G16"/>
      <c r="H16"/>
      <c r="I16"/>
      <c r="J16"/>
      <c r="K16"/>
      <c r="L16"/>
      <c r="M16"/>
      <c r="N16"/>
    </row>
    <row r="17" spans="1:14" ht="15.75" thickBot="1" x14ac:dyDescent="0.3">
      <c r="A17" s="2"/>
      <c r="B17" s="33" t="s">
        <v>158</v>
      </c>
      <c r="C17" s="39">
        <v>4000</v>
      </c>
      <c r="D17" s="2"/>
      <c r="E17" s="9">
        <f>$C17</f>
        <v>4000</v>
      </c>
      <c r="F17" s="9">
        <f>$C17</f>
        <v>4000</v>
      </c>
      <c r="G17" s="9">
        <f t="shared" ref="G17:K17" si="1">$C17</f>
        <v>4000</v>
      </c>
      <c r="H17" s="9">
        <f t="shared" si="1"/>
        <v>4000</v>
      </c>
      <c r="I17" s="9">
        <f t="shared" si="1"/>
        <v>4000</v>
      </c>
      <c r="J17" s="9">
        <f t="shared" si="1"/>
        <v>4000</v>
      </c>
      <c r="K17" s="9">
        <f t="shared" si="1"/>
        <v>4000</v>
      </c>
    </row>
    <row r="18" spans="1:14" ht="15.75" thickBot="1" x14ac:dyDescent="0.3">
      <c r="A18" s="2"/>
      <c r="B18" s="33" t="s">
        <v>152</v>
      </c>
      <c r="C18" s="39">
        <v>1100</v>
      </c>
      <c r="D18" s="2" t="s">
        <v>16</v>
      </c>
      <c r="E18" s="212">
        <f>$C18</f>
        <v>1100</v>
      </c>
      <c r="F18" s="212">
        <f t="shared" ref="F18:K18" si="2">$C18</f>
        <v>1100</v>
      </c>
      <c r="G18" s="212">
        <f t="shared" si="2"/>
        <v>1100</v>
      </c>
      <c r="H18" s="212">
        <f t="shared" si="2"/>
        <v>1100</v>
      </c>
      <c r="I18" s="212">
        <f t="shared" si="2"/>
        <v>1100</v>
      </c>
      <c r="J18" s="212">
        <f t="shared" si="2"/>
        <v>1100</v>
      </c>
      <c r="K18" s="212">
        <f t="shared" si="2"/>
        <v>1100</v>
      </c>
      <c r="N18" t="s">
        <v>161</v>
      </c>
    </row>
    <row r="19" spans="1:14" x14ac:dyDescent="0.25">
      <c r="A19" s="2"/>
      <c r="B19" s="33" t="s">
        <v>8</v>
      </c>
      <c r="C19" s="9"/>
      <c r="D19" s="2"/>
      <c r="E19" s="9">
        <f>E13*E18</f>
        <v>66000</v>
      </c>
      <c r="F19" s="9">
        <f t="shared" ref="F19" si="3">F13*F18</f>
        <v>105050</v>
      </c>
      <c r="G19" s="9">
        <f t="shared" ref="G19:K19" si="4">G13*G18</f>
        <v>105050</v>
      </c>
      <c r="H19" s="9">
        <f t="shared" si="4"/>
        <v>105050</v>
      </c>
      <c r="I19" s="9">
        <f t="shared" si="4"/>
        <v>105050</v>
      </c>
      <c r="J19" s="9">
        <f t="shared" si="4"/>
        <v>105050</v>
      </c>
      <c r="K19" s="9">
        <f t="shared" si="4"/>
        <v>105050</v>
      </c>
    </row>
    <row r="20" spans="1:14" ht="15.75" thickBot="1" x14ac:dyDescent="0.3">
      <c r="A20" s="2"/>
      <c r="B20" s="33" t="s">
        <v>95</v>
      </c>
      <c r="C20" s="9"/>
      <c r="D20" s="2"/>
      <c r="E20" s="202" cm="1">
        <f t="array" ref="E20">_xlfn.SWITCH(E9,"Einzählermodell",1,"Mieterstrom",1,0)</f>
        <v>1</v>
      </c>
      <c r="F20" s="202" cm="1">
        <f t="array" ref="F20">_xlfn.SWITCH(F9,"Einzählermodell",1,"Mieterstrom",1,0)</f>
        <v>1</v>
      </c>
      <c r="G20" s="202" cm="1">
        <f t="array" ref="G20">_xlfn.SWITCH(G9,"Einzählermodell",1,"Mieterstrom",1,0)</f>
        <v>1</v>
      </c>
      <c r="H20" s="202" cm="1">
        <f t="array" ref="H20">_xlfn.SWITCH(H9,"Einzählermodell",1,"Mieterstrom",1,0)</f>
        <v>0</v>
      </c>
      <c r="I20" s="202" cm="1">
        <f t="array" ref="I20">_xlfn.SWITCH(I9,"Einzählermodell",1,"Mieterstrom",1,0)</f>
        <v>0</v>
      </c>
      <c r="J20" s="202" cm="1">
        <f t="array" ref="J20">_xlfn.SWITCH(J9,"Einzählermodell",1,"Mieterstrom",1,0)</f>
        <v>0</v>
      </c>
      <c r="K20" s="202" cm="1">
        <f t="array" ref="K20">_xlfn.SWITCH(K9,"Einzählermodell",1,"Mieterstrom",1,0)</f>
        <v>0</v>
      </c>
    </row>
    <row r="21" spans="1:14" ht="15.75" thickBot="1" x14ac:dyDescent="0.3">
      <c r="A21" s="2"/>
      <c r="B21" s="33" t="s">
        <v>119</v>
      </c>
      <c r="C21" s="39">
        <v>5000</v>
      </c>
      <c r="D21" s="2" t="s">
        <v>249</v>
      </c>
      <c r="E21" s="9">
        <f>IF(AND(E20,E7&gt;=4),$C21,0)</f>
        <v>5000</v>
      </c>
      <c r="F21" s="9">
        <f t="shared" ref="F21" si="5">IF(AND(F20,F7&gt;=4),$C21,0)</f>
        <v>5000</v>
      </c>
      <c r="G21" s="9">
        <f t="shared" ref="G21:K21" si="6">IF(AND(G20,G7&gt;=4),$C21,0)</f>
        <v>5000</v>
      </c>
      <c r="H21" s="9">
        <f t="shared" si="6"/>
        <v>0</v>
      </c>
      <c r="I21" s="9">
        <f t="shared" si="6"/>
        <v>0</v>
      </c>
      <c r="J21" s="9">
        <f t="shared" si="6"/>
        <v>0</v>
      </c>
      <c r="K21" s="9">
        <f t="shared" si="6"/>
        <v>0</v>
      </c>
      <c r="N21" t="s">
        <v>250</v>
      </c>
    </row>
    <row r="22" spans="1:14" ht="15.75" thickBot="1" x14ac:dyDescent="0.3">
      <c r="A22" s="2"/>
      <c r="B22" s="33" t="s">
        <v>239</v>
      </c>
      <c r="C22" s="39">
        <v>450</v>
      </c>
      <c r="D22" s="2" t="s">
        <v>2</v>
      </c>
      <c r="E22" s="9">
        <f>E14*$C22</f>
        <v>0</v>
      </c>
      <c r="F22" s="9">
        <f>F14*$C22</f>
        <v>0</v>
      </c>
      <c r="G22" s="9">
        <f t="shared" ref="G22:K22" si="7">G14*$C22</f>
        <v>0</v>
      </c>
      <c r="H22" s="9">
        <f t="shared" si="7"/>
        <v>0</v>
      </c>
      <c r="I22" s="9">
        <f t="shared" si="7"/>
        <v>0</v>
      </c>
      <c r="J22" s="9">
        <f t="shared" si="7"/>
        <v>0</v>
      </c>
      <c r="K22" s="9">
        <f t="shared" si="7"/>
        <v>0</v>
      </c>
      <c r="N22" t="s">
        <v>24</v>
      </c>
    </row>
    <row r="23" spans="1:14" ht="15.75" thickBot="1" x14ac:dyDescent="0.3">
      <c r="A23" s="2"/>
      <c r="B23" s="33" t="s">
        <v>162</v>
      </c>
      <c r="C23" s="9"/>
      <c r="D23" s="2"/>
      <c r="E23" s="91">
        <v>0</v>
      </c>
      <c r="F23" s="91">
        <v>0</v>
      </c>
      <c r="G23" s="91">
        <v>10000</v>
      </c>
      <c r="H23" s="91">
        <v>15000</v>
      </c>
      <c r="I23" s="91">
        <v>0</v>
      </c>
      <c r="J23" s="91">
        <v>0</v>
      </c>
      <c r="K23" s="91">
        <v>0</v>
      </c>
      <c r="N23" t="s">
        <v>238</v>
      </c>
    </row>
    <row r="24" spans="1:14" x14ac:dyDescent="0.25">
      <c r="A24" s="2"/>
      <c r="B24" s="87" t="s">
        <v>9</v>
      </c>
      <c r="C24" s="89"/>
      <c r="D24" s="87"/>
      <c r="E24" s="88">
        <f t="shared" ref="E24:K24" si="8">E19+E17+E21+E22+E23</f>
        <v>75000</v>
      </c>
      <c r="F24" s="88">
        <f t="shared" si="8"/>
        <v>114050</v>
      </c>
      <c r="G24" s="88">
        <f t="shared" si="8"/>
        <v>124050</v>
      </c>
      <c r="H24" s="88">
        <f t="shared" si="8"/>
        <v>124050</v>
      </c>
      <c r="I24" s="88">
        <f t="shared" si="8"/>
        <v>109050</v>
      </c>
      <c r="J24" s="88">
        <f t="shared" si="8"/>
        <v>109050</v>
      </c>
      <c r="K24" s="88">
        <f t="shared" si="8"/>
        <v>109050</v>
      </c>
      <c r="L24" s="87"/>
      <c r="N24" s="6"/>
    </row>
    <row r="26" spans="1:14" s="4" customFormat="1" ht="18.75" x14ac:dyDescent="0.3">
      <c r="A26" s="138"/>
      <c r="B26" s="144" t="s">
        <v>141</v>
      </c>
      <c r="C26" s="268"/>
      <c r="D26" s="144"/>
      <c r="E26" s="268">
        <f t="shared" ref="E26:K26" si="9">E24/E7</f>
        <v>1271.1864406779662</v>
      </c>
      <c r="F26" s="268">
        <f t="shared" si="9"/>
        <v>1933.050847457627</v>
      </c>
      <c r="G26" s="268">
        <f t="shared" si="9"/>
        <v>2102.5423728813557</v>
      </c>
      <c r="H26" s="268">
        <f t="shared" si="9"/>
        <v>2102.5423728813557</v>
      </c>
      <c r="I26" s="268">
        <f t="shared" si="9"/>
        <v>1848.3050847457628</v>
      </c>
      <c r="J26" s="268">
        <f t="shared" si="9"/>
        <v>1848.3050847457628</v>
      </c>
      <c r="K26" s="268">
        <f t="shared" si="9"/>
        <v>1848.3050847457628</v>
      </c>
      <c r="L26" s="144"/>
      <c r="N26" s="269"/>
    </row>
    <row r="28" spans="1:14" s="71" customFormat="1" ht="19.5" thickBot="1" x14ac:dyDescent="0.35">
      <c r="A28" s="71" t="s">
        <v>25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</row>
    <row r="29" spans="1:14" ht="15.75" thickBot="1" x14ac:dyDescent="0.3">
      <c r="B29" s="32" t="s">
        <v>134</v>
      </c>
      <c r="C29" s="214">
        <v>4.0000000000000001E-3</v>
      </c>
      <c r="D29" s="2" t="s">
        <v>6</v>
      </c>
      <c r="E29" s="34">
        <f>$C29*20/2</f>
        <v>0.04</v>
      </c>
      <c r="F29" s="34">
        <f t="shared" ref="F29:K29" si="10">$C29*20/2</f>
        <v>0.04</v>
      </c>
      <c r="G29" s="34">
        <f t="shared" si="10"/>
        <v>0.04</v>
      </c>
      <c r="H29" s="34">
        <f t="shared" si="10"/>
        <v>0.04</v>
      </c>
      <c r="I29" s="34">
        <f t="shared" si="10"/>
        <v>0.04</v>
      </c>
      <c r="J29" s="34">
        <f t="shared" si="10"/>
        <v>0.04</v>
      </c>
      <c r="K29" s="34">
        <f t="shared" si="10"/>
        <v>0.04</v>
      </c>
      <c r="N29" t="s">
        <v>135</v>
      </c>
    </row>
    <row r="30" spans="1:14" ht="15.75" thickBot="1" x14ac:dyDescent="0.3">
      <c r="B30" s="32" t="s">
        <v>130</v>
      </c>
      <c r="D30" t="s">
        <v>106</v>
      </c>
      <c r="E30" s="38">
        <v>917</v>
      </c>
      <c r="F30" s="38">
        <v>917</v>
      </c>
      <c r="G30" s="38">
        <v>917</v>
      </c>
      <c r="H30" s="38">
        <v>917</v>
      </c>
      <c r="I30" s="38">
        <v>917</v>
      </c>
      <c r="J30" s="38">
        <v>917</v>
      </c>
      <c r="K30" s="38">
        <v>917</v>
      </c>
      <c r="L30" t="s">
        <v>43</v>
      </c>
      <c r="N30" t="s">
        <v>129</v>
      </c>
    </row>
    <row r="31" spans="1:14" x14ac:dyDescent="0.25">
      <c r="B31" s="12" t="s">
        <v>131</v>
      </c>
      <c r="C31" s="13"/>
      <c r="D31" s="12"/>
      <c r="E31" s="13">
        <f t="shared" ref="E31:K31" si="11">E13*E30*(1-E29)</f>
        <v>52819.199999999997</v>
      </c>
      <c r="F31" s="13">
        <f t="shared" si="11"/>
        <v>84070.56</v>
      </c>
      <c r="G31" s="13">
        <f t="shared" si="11"/>
        <v>84070.56</v>
      </c>
      <c r="H31" s="13">
        <f t="shared" si="11"/>
        <v>84070.56</v>
      </c>
      <c r="I31" s="13">
        <f t="shared" si="11"/>
        <v>84070.56</v>
      </c>
      <c r="J31" s="13">
        <f t="shared" si="11"/>
        <v>84070.56</v>
      </c>
      <c r="K31" s="13">
        <f t="shared" si="11"/>
        <v>84070.56</v>
      </c>
      <c r="L31" s="12" t="s">
        <v>5</v>
      </c>
      <c r="N31" s="7" t="s">
        <v>133</v>
      </c>
    </row>
    <row r="32" spans="1:14" ht="15.75" thickBot="1" x14ac:dyDescent="0.3">
      <c r="C32" s="1"/>
      <c r="E32" s="8"/>
      <c r="F32" s="8"/>
      <c r="G32" s="8"/>
      <c r="H32" s="8"/>
      <c r="I32" s="8"/>
      <c r="J32" s="8"/>
      <c r="K32" s="8"/>
      <c r="N32" s="7"/>
    </row>
    <row r="33" spans="2:14" ht="15.75" thickBot="1" x14ac:dyDescent="0.3">
      <c r="B33" s="32" t="s">
        <v>128</v>
      </c>
      <c r="C33" s="94">
        <v>1700</v>
      </c>
      <c r="D33" t="s">
        <v>160</v>
      </c>
      <c r="E33" s="8">
        <f t="shared" ref="E33:K33" si="12">$C33*$C7</f>
        <v>100300</v>
      </c>
      <c r="F33" s="8">
        <f t="shared" si="12"/>
        <v>100300</v>
      </c>
      <c r="G33" s="8">
        <f t="shared" si="12"/>
        <v>100300</v>
      </c>
      <c r="H33" s="8">
        <f t="shared" si="12"/>
        <v>100300</v>
      </c>
      <c r="I33" s="8">
        <f t="shared" si="12"/>
        <v>100300</v>
      </c>
      <c r="J33" s="8">
        <f t="shared" si="12"/>
        <v>100300</v>
      </c>
      <c r="K33" s="8">
        <f t="shared" si="12"/>
        <v>100300</v>
      </c>
      <c r="L33" t="s">
        <v>5</v>
      </c>
    </row>
    <row r="34" spans="2:14" ht="15.75" thickBot="1" x14ac:dyDescent="0.3">
      <c r="B34" s="32" t="s">
        <v>240</v>
      </c>
      <c r="C34" s="8"/>
      <c r="E34" s="94">
        <v>0</v>
      </c>
      <c r="F34" s="94">
        <v>0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t="s">
        <v>5</v>
      </c>
    </row>
    <row r="35" spans="2:14" x14ac:dyDescent="0.25">
      <c r="B35" s="32" t="s">
        <v>77</v>
      </c>
      <c r="C35" s="63">
        <v>54000</v>
      </c>
      <c r="D35" t="s">
        <v>5</v>
      </c>
      <c r="E35" s="8">
        <f>$C35</f>
        <v>54000</v>
      </c>
      <c r="F35" s="8">
        <f t="shared" ref="F35:K35" si="13">$C35</f>
        <v>54000</v>
      </c>
      <c r="G35" s="8">
        <f t="shared" si="13"/>
        <v>54000</v>
      </c>
      <c r="H35" s="8">
        <f t="shared" si="13"/>
        <v>54000</v>
      </c>
      <c r="I35" s="8">
        <f t="shared" si="13"/>
        <v>54000</v>
      </c>
      <c r="J35" s="8">
        <f t="shared" si="13"/>
        <v>54000</v>
      </c>
      <c r="K35" s="8">
        <f t="shared" si="13"/>
        <v>54000</v>
      </c>
      <c r="L35" t="s">
        <v>5</v>
      </c>
    </row>
    <row r="36" spans="2:14" x14ac:dyDescent="0.25">
      <c r="B36" s="85" t="s">
        <v>99</v>
      </c>
      <c r="C36" s="215"/>
      <c r="D36" s="215"/>
      <c r="E36" s="86">
        <f>E33+E34+E35</f>
        <v>154300</v>
      </c>
      <c r="F36" s="86">
        <f t="shared" ref="F36" si="14">F33+F34+F35</f>
        <v>154300</v>
      </c>
      <c r="G36" s="86">
        <f t="shared" ref="G36:K36" si="15">G33+G34+G35</f>
        <v>154300</v>
      </c>
      <c r="H36" s="86">
        <f t="shared" si="15"/>
        <v>154300</v>
      </c>
      <c r="I36" s="86">
        <f t="shared" si="15"/>
        <v>154300</v>
      </c>
      <c r="J36" s="86">
        <f t="shared" si="15"/>
        <v>154300</v>
      </c>
      <c r="K36" s="86">
        <f t="shared" si="15"/>
        <v>154300</v>
      </c>
      <c r="L36" s="215" t="s">
        <v>5</v>
      </c>
      <c r="N36" s="28"/>
    </row>
    <row r="37" spans="2:14" x14ac:dyDescent="0.25">
      <c r="B37" s="32"/>
      <c r="E37" s="8"/>
      <c r="F37" s="8"/>
      <c r="G37" s="8"/>
      <c r="H37" s="8"/>
      <c r="I37" s="8"/>
      <c r="J37" s="8"/>
      <c r="K37" s="8"/>
      <c r="N37" s="28"/>
    </row>
    <row r="38" spans="2:14" s="15" customFormat="1" x14ac:dyDescent="0.25">
      <c r="B38" s="95" t="s">
        <v>190</v>
      </c>
      <c r="C38" s="16"/>
      <c r="E38" s="8" cm="1">
        <f t="array" ref="E38">_xlfn.SWITCH(E9,"Allgemeinstrom",E35,"Einzählermodell",E36,"Einzelanlagen",E33,"GGV",E36,"Mieterstrom",E36,"Volleinspeisung",0)</f>
        <v>154300</v>
      </c>
      <c r="F38" s="8" cm="1">
        <f t="array" ref="F38">_xlfn.SWITCH(F9,"Allgemeinstrom",F35,"Einzählermodell",F36,"Einzelanlagen",F33,"GGV",F36,"Mieterstrom",F36,"Volleinspeisung",0)</f>
        <v>154300</v>
      </c>
      <c r="G38" s="8" cm="1">
        <f t="array" ref="G38">_xlfn.SWITCH(G9,"Allgemeinstrom",G35,"Einzählermodell",G36,"Einzelanlagen",G33,"GGV",G36,"Mieterstrom",G36,"Volleinspeisung",0)</f>
        <v>154300</v>
      </c>
      <c r="H38" s="8" cm="1">
        <f t="array" ref="H38">_xlfn.SWITCH(H9,"Allgemeinstrom",H35,"Einzählermodell",H36,"Einzelanlagen",H33,"GGV",H36,"Mieterstrom",H36,"Volleinspeisung",0)</f>
        <v>154300</v>
      </c>
      <c r="I38" s="8" cm="1">
        <f t="array" ref="I38">_xlfn.SWITCH(I9,"Allgemeinstrom",I35,"Einzählermodell",I36,"Einzelanlagen",I33,"GGV",I36,"Mieterstrom",I36,"Volleinspeisung",0)</f>
        <v>54000</v>
      </c>
      <c r="J38" s="8" cm="1">
        <f t="array" ref="J38">_xlfn.SWITCH(J9,"Allgemeinstrom",J35,"Einzählermodell",J36,"Einzelanlagen",J33,"GGV",J36,"Mieterstrom",J36,"Volleinspeisung",0)</f>
        <v>100300</v>
      </c>
      <c r="K38" s="8" cm="1">
        <f t="array" ref="K38">_xlfn.SWITCH(K9,"Allgemeinstrom",K35,"Einzählermodell",K36,"Einzelanlagen",K33,"GGV",K36,"Mieterstrom",K36,"Volleinspeisung",0)</f>
        <v>0</v>
      </c>
      <c r="L38" s="58" t="s">
        <v>5</v>
      </c>
      <c r="N38" s="80"/>
    </row>
    <row r="39" spans="2:14" s="307" customFormat="1" x14ac:dyDescent="0.25">
      <c r="B39" s="304" t="s">
        <v>252</v>
      </c>
      <c r="C39" s="305"/>
      <c r="D39" s="303" t="s">
        <v>218</v>
      </c>
      <c r="E39" s="306">
        <f t="shared" ref="E39:K39" si="16">IF(E9="Volleinspeisung",0,E31/E38)</f>
        <v>0.34231497083603368</v>
      </c>
      <c r="F39" s="306">
        <f t="shared" si="16"/>
        <v>0.54485132858068697</v>
      </c>
      <c r="G39" s="306">
        <f t="shared" si="16"/>
        <v>0.54485132858068697</v>
      </c>
      <c r="H39" s="306">
        <f t="shared" si="16"/>
        <v>0.54485132858068697</v>
      </c>
      <c r="I39" s="306">
        <f t="shared" si="16"/>
        <v>1.5568622222222221</v>
      </c>
      <c r="J39" s="306">
        <f t="shared" si="16"/>
        <v>0.8381910269192423</v>
      </c>
      <c r="K39" s="306">
        <f t="shared" si="16"/>
        <v>0</v>
      </c>
      <c r="N39" s="308" t="s">
        <v>216</v>
      </c>
    </row>
    <row r="40" spans="2:14" s="307" customFormat="1" x14ac:dyDescent="0.25">
      <c r="B40" s="304" t="s">
        <v>214</v>
      </c>
      <c r="C40" s="305"/>
      <c r="D40" s="303" t="s">
        <v>218</v>
      </c>
      <c r="E40" s="306">
        <f t="shared" ref="E40:K40" si="17">IF(E9&lt;&gt;"Volleinspeisung",E14/(E38/1000),0)</f>
        <v>0</v>
      </c>
      <c r="F40" s="306">
        <f t="shared" si="17"/>
        <v>0</v>
      </c>
      <c r="G40" s="306">
        <f t="shared" si="17"/>
        <v>0</v>
      </c>
      <c r="H40" s="306">
        <f t="shared" si="17"/>
        <v>0</v>
      </c>
      <c r="I40" s="306">
        <f t="shared" si="17"/>
        <v>0</v>
      </c>
      <c r="J40" s="306">
        <f t="shared" si="17"/>
        <v>0</v>
      </c>
      <c r="K40" s="306">
        <f t="shared" si="17"/>
        <v>0</v>
      </c>
      <c r="N40" s="308" t="s">
        <v>215</v>
      </c>
    </row>
    <row r="41" spans="2:14" x14ac:dyDescent="0.25">
      <c r="B41" s="32" t="s">
        <v>181</v>
      </c>
      <c r="C41" s="216"/>
      <c r="D41" s="303" t="s">
        <v>234</v>
      </c>
      <c r="E41" s="217">
        <v>0.8</v>
      </c>
      <c r="F41" s="217">
        <v>0.52700000000000002</v>
      </c>
      <c r="G41" s="217">
        <v>0.52700000000000002</v>
      </c>
      <c r="H41" s="217">
        <v>0.52700000000000002</v>
      </c>
      <c r="I41" s="217">
        <v>0.27</v>
      </c>
      <c r="J41" s="217">
        <v>0.28000000000000003</v>
      </c>
      <c r="K41" s="217">
        <v>0</v>
      </c>
      <c r="N41" t="s">
        <v>229</v>
      </c>
    </row>
    <row r="42" spans="2:14" x14ac:dyDescent="0.25">
      <c r="B42" s="12" t="s">
        <v>182</v>
      </c>
      <c r="C42" s="12"/>
      <c r="D42" s="12"/>
      <c r="E42" s="218">
        <f t="shared" ref="E42:K42" si="18">IF(E9="Volleinspeisung",0,E31*E41)</f>
        <v>42255.360000000001</v>
      </c>
      <c r="F42" s="218">
        <f t="shared" si="18"/>
        <v>44305.185120000002</v>
      </c>
      <c r="G42" s="218">
        <f t="shared" si="18"/>
        <v>44305.185120000002</v>
      </c>
      <c r="H42" s="218">
        <f t="shared" si="18"/>
        <v>44305.185120000002</v>
      </c>
      <c r="I42" s="218">
        <f t="shared" si="18"/>
        <v>22699.051200000002</v>
      </c>
      <c r="J42" s="218">
        <f t="shared" si="18"/>
        <v>23539.756800000003</v>
      </c>
      <c r="K42" s="218">
        <f t="shared" si="18"/>
        <v>0</v>
      </c>
      <c r="L42" s="12" t="s">
        <v>5</v>
      </c>
      <c r="N42" t="s">
        <v>217</v>
      </c>
    </row>
    <row r="43" spans="2:14" x14ac:dyDescent="0.25">
      <c r="E43" s="219"/>
      <c r="F43" s="219"/>
      <c r="G43" s="219"/>
      <c r="H43" s="219"/>
      <c r="I43" s="219"/>
      <c r="J43" s="219"/>
      <c r="K43" s="219"/>
    </row>
    <row r="44" spans="2:14" x14ac:dyDescent="0.25">
      <c r="B44" s="116" t="s">
        <v>186</v>
      </c>
      <c r="C44" s="117"/>
      <c r="D44" s="118"/>
      <c r="E44" s="267">
        <f t="shared" ref="E44:K44" si="19">IF(E9="Volleinspeisung",0,E41)</f>
        <v>0.8</v>
      </c>
      <c r="F44" s="267">
        <f t="shared" si="19"/>
        <v>0.52700000000000002</v>
      </c>
      <c r="G44" s="267">
        <f t="shared" si="19"/>
        <v>0.52700000000000002</v>
      </c>
      <c r="H44" s="267">
        <f t="shared" si="19"/>
        <v>0.52700000000000002</v>
      </c>
      <c r="I44" s="267">
        <f t="shared" si="19"/>
        <v>0.27</v>
      </c>
      <c r="J44" s="267">
        <f t="shared" si="19"/>
        <v>0.28000000000000003</v>
      </c>
      <c r="K44" s="267">
        <f t="shared" si="19"/>
        <v>0</v>
      </c>
      <c r="L44" s="111"/>
      <c r="N44" t="s">
        <v>193</v>
      </c>
    </row>
    <row r="45" spans="2:14" s="64" customFormat="1" x14ac:dyDescent="0.25">
      <c r="B45" s="119" t="s">
        <v>76</v>
      </c>
      <c r="C45" s="120"/>
      <c r="D45" s="114"/>
      <c r="E45" s="114">
        <f>E42/E36</f>
        <v>0.27385197666882699</v>
      </c>
      <c r="F45" s="114">
        <f t="shared" ref="F45" si="20">F42/F36</f>
        <v>0.28713665016202206</v>
      </c>
      <c r="G45" s="114">
        <f t="shared" ref="G45:K45" si="21">G42/G36</f>
        <v>0.28713665016202206</v>
      </c>
      <c r="H45" s="114">
        <f t="shared" si="21"/>
        <v>0.28713665016202206</v>
      </c>
      <c r="I45" s="114">
        <f t="shared" si="21"/>
        <v>0.1471098587167855</v>
      </c>
      <c r="J45" s="114">
        <f t="shared" si="21"/>
        <v>0.15255837200259237</v>
      </c>
      <c r="K45" s="114">
        <f t="shared" si="21"/>
        <v>0</v>
      </c>
      <c r="L45" s="112"/>
      <c r="N45" s="64" t="s">
        <v>183</v>
      </c>
    </row>
    <row r="46" spans="2:14" x14ac:dyDescent="0.25">
      <c r="B46" s="116" t="s">
        <v>154</v>
      </c>
      <c r="C46" s="117"/>
      <c r="D46" s="118"/>
      <c r="E46" s="114">
        <f>E31/E36</f>
        <v>0.34231497083603368</v>
      </c>
      <c r="F46" s="114">
        <f t="shared" ref="F46" si="22">F31/F36</f>
        <v>0.54485132858068697</v>
      </c>
      <c r="G46" s="114">
        <f t="shared" ref="G46:K46" si="23">G31/G36</f>
        <v>0.54485132858068697</v>
      </c>
      <c r="H46" s="114">
        <f t="shared" si="23"/>
        <v>0.54485132858068697</v>
      </c>
      <c r="I46" s="114">
        <f t="shared" si="23"/>
        <v>0.54485132858068697</v>
      </c>
      <c r="J46" s="114">
        <f t="shared" si="23"/>
        <v>0.54485132858068697</v>
      </c>
      <c r="K46" s="114">
        <f t="shared" si="23"/>
        <v>0.54485132858068697</v>
      </c>
      <c r="L46" s="111"/>
      <c r="N46" t="s">
        <v>100</v>
      </c>
    </row>
    <row r="47" spans="2:14" x14ac:dyDescent="0.25">
      <c r="B47" s="116" t="s">
        <v>45</v>
      </c>
      <c r="C47" s="117"/>
      <c r="D47" s="118"/>
      <c r="E47" s="115">
        <f>E36-E42</f>
        <v>112044.64</v>
      </c>
      <c r="F47" s="115">
        <f t="shared" ref="F47" si="24">F36-F42</f>
        <v>109994.81487999999</v>
      </c>
      <c r="G47" s="115">
        <f t="shared" ref="G47:K47" si="25">G36-G42</f>
        <v>109994.81487999999</v>
      </c>
      <c r="H47" s="115">
        <f t="shared" si="25"/>
        <v>109994.81487999999</v>
      </c>
      <c r="I47" s="115">
        <f t="shared" si="25"/>
        <v>131600.94880000001</v>
      </c>
      <c r="J47" s="115">
        <f t="shared" si="25"/>
        <v>130760.2432</v>
      </c>
      <c r="K47" s="115">
        <f t="shared" si="25"/>
        <v>154300</v>
      </c>
      <c r="L47" s="111" t="s">
        <v>5</v>
      </c>
      <c r="N47" t="s">
        <v>184</v>
      </c>
    </row>
    <row r="48" spans="2:14" x14ac:dyDescent="0.25">
      <c r="B48" s="116" t="s">
        <v>4</v>
      </c>
      <c r="C48" s="117"/>
      <c r="D48" s="118"/>
      <c r="E48" s="220">
        <f>E31-E42</f>
        <v>10563.839999999997</v>
      </c>
      <c r="F48" s="220">
        <f t="shared" ref="F48" si="26">F31-F42</f>
        <v>39765.374879999996</v>
      </c>
      <c r="G48" s="220">
        <f t="shared" ref="G48:K48" si="27">G31-G42</f>
        <v>39765.374879999996</v>
      </c>
      <c r="H48" s="220">
        <f t="shared" si="27"/>
        <v>39765.374879999996</v>
      </c>
      <c r="I48" s="220">
        <f t="shared" si="27"/>
        <v>61371.508799999996</v>
      </c>
      <c r="J48" s="220">
        <f t="shared" si="27"/>
        <v>60530.803199999995</v>
      </c>
      <c r="K48" s="220">
        <f t="shared" si="27"/>
        <v>84070.56</v>
      </c>
      <c r="L48" s="111" t="s">
        <v>5</v>
      </c>
      <c r="N48" t="s">
        <v>185</v>
      </c>
    </row>
    <row r="50" spans="1:14" s="4" customFormat="1" ht="18.75" x14ac:dyDescent="0.3">
      <c r="A50" s="72" t="s">
        <v>89</v>
      </c>
      <c r="B50" s="72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/>
      <c r="N50"/>
    </row>
    <row r="51" spans="1:14" ht="15.75" thickBot="1" x14ac:dyDescent="0.3">
      <c r="B51" s="32" t="s">
        <v>182</v>
      </c>
      <c r="E51" s="219">
        <f>E42</f>
        <v>42255.360000000001</v>
      </c>
      <c r="F51" s="219">
        <f t="shared" ref="F51" si="28">F42</f>
        <v>44305.185120000002</v>
      </c>
      <c r="G51" s="219">
        <f t="shared" ref="G51:K51" si="29">G42</f>
        <v>44305.185120000002</v>
      </c>
      <c r="H51" s="219">
        <f t="shared" si="29"/>
        <v>44305.185120000002</v>
      </c>
      <c r="I51" s="219">
        <f t="shared" si="29"/>
        <v>22699.051200000002</v>
      </c>
      <c r="J51" s="219">
        <f t="shared" si="29"/>
        <v>23539.756800000003</v>
      </c>
      <c r="K51" s="219">
        <f t="shared" si="29"/>
        <v>0</v>
      </c>
      <c r="L51" t="s">
        <v>5</v>
      </c>
      <c r="N51" t="s">
        <v>26</v>
      </c>
    </row>
    <row r="52" spans="1:14" ht="15.75" thickBot="1" x14ac:dyDescent="0.3">
      <c r="B52" s="32" t="s">
        <v>205</v>
      </c>
      <c r="C52" s="200">
        <v>0.3</v>
      </c>
      <c r="D52" s="2" t="s">
        <v>2</v>
      </c>
      <c r="E52" s="3">
        <f>$C52</f>
        <v>0.3</v>
      </c>
      <c r="F52" s="3">
        <f t="shared" ref="F52:K52" si="30">$C52</f>
        <v>0.3</v>
      </c>
      <c r="G52" s="3">
        <f t="shared" si="30"/>
        <v>0.3</v>
      </c>
      <c r="H52" s="3">
        <f t="shared" si="30"/>
        <v>0.3</v>
      </c>
      <c r="I52" s="3">
        <f t="shared" si="30"/>
        <v>0.3</v>
      </c>
      <c r="J52" s="3">
        <f t="shared" si="30"/>
        <v>0.3</v>
      </c>
      <c r="K52" s="3">
        <f t="shared" si="30"/>
        <v>0.3</v>
      </c>
      <c r="L52" s="2" t="s">
        <v>2</v>
      </c>
    </row>
    <row r="53" spans="1:14" ht="15.75" thickBot="1" x14ac:dyDescent="0.3">
      <c r="B53" s="32" t="s">
        <v>210</v>
      </c>
      <c r="C53" s="276">
        <v>0.2</v>
      </c>
      <c r="D53" t="s">
        <v>236</v>
      </c>
      <c r="E53" s="279" t="str" cm="1">
        <f t="array" ref="E53">_xlfn.SWITCH(E9,"Mieterstrom",$C53,"GGV",$C53,"entfällt")</f>
        <v>entfällt</v>
      </c>
      <c r="F53" s="279" t="str" cm="1">
        <f t="array" ref="F53">_xlfn.SWITCH(F9,"Mieterstrom",$C53,"GGV",$C53,"entfällt")</f>
        <v>entfällt</v>
      </c>
      <c r="G53" s="279" cm="1">
        <f t="array" ref="G53">_xlfn.SWITCH(G9,"Mieterstrom",$C53,"GGV",$C53,"entfällt")</f>
        <v>0.2</v>
      </c>
      <c r="H53" s="279" cm="1">
        <f t="array" ref="H53">_xlfn.SWITCH(H9,"Mieterstrom",$C53,"GGV",$C53,"entfällt")</f>
        <v>0.2</v>
      </c>
      <c r="I53" s="279" t="str" cm="1">
        <f t="array" ref="I53">_xlfn.SWITCH(I9,"Mieterstrom",$C53,"GGV",$C53,"entfällt")</f>
        <v>entfällt</v>
      </c>
      <c r="J53" s="279" t="str" cm="1">
        <f t="array" ref="J53">_xlfn.SWITCH(J9,"Mieterstrom",$C53,"GGV",$C53,"entfällt")</f>
        <v>entfällt</v>
      </c>
      <c r="K53" s="279" t="str" cm="1">
        <f t="array" ref="K53">_xlfn.SWITCH(K9,"Mieterstrom",$C53,"GGV",$C53,"entfällt")</f>
        <v>entfällt</v>
      </c>
    </row>
    <row r="54" spans="1:14" x14ac:dyDescent="0.25">
      <c r="B54" t="s">
        <v>206</v>
      </c>
      <c r="C54" s="43"/>
      <c r="D54" s="277"/>
      <c r="E54" s="278" cm="1">
        <f t="array" ref="E54">_xlfn.SWITCH(E9,"Mieterstrom",E52*(1-E53),"GGV",E52*(1-E53),E52)</f>
        <v>0.3</v>
      </c>
      <c r="F54" s="278" cm="1">
        <f t="array" ref="F54">_xlfn.SWITCH(F9,"Mieterstrom",F52*(1-F53),"GGV",F52*(1-F53),F52)</f>
        <v>0.3</v>
      </c>
      <c r="G54" s="278" cm="1">
        <f t="array" ref="G54">_xlfn.SWITCH(G9,"Mieterstrom",G52*(1-G53),"GGV",G52*(1-G53),G52)</f>
        <v>0.24</v>
      </c>
      <c r="H54" s="278" cm="1">
        <f t="array" ref="H54">_xlfn.SWITCH(H9,"Mieterstrom",H52*(1-H53),"GGV",H52*(1-H53),H52)</f>
        <v>0.24</v>
      </c>
      <c r="I54" s="278" cm="1">
        <f t="array" ref="I54">_xlfn.SWITCH(I9,"Mieterstrom",I52*(1-I53),"GGV",I52*(1-I53),I52)</f>
        <v>0.3</v>
      </c>
      <c r="J54" s="278" cm="1">
        <f t="array" ref="J54">_xlfn.SWITCH(J9,"Mieterstrom",J52*(1-J53),"GGV",J52*(1-J53),J52)</f>
        <v>0.3</v>
      </c>
      <c r="K54" s="278" cm="1">
        <f t="array" ref="K54">_xlfn.SWITCH(K9,"Mieterstrom",K52*(1-K53),"GGV",K52*(1-K53),K52)</f>
        <v>0.3</v>
      </c>
      <c r="L54" s="201" t="s">
        <v>2</v>
      </c>
      <c r="M54" s="2"/>
      <c r="N54" s="28" t="s">
        <v>118</v>
      </c>
    </row>
    <row r="55" spans="1:14" x14ac:dyDescent="0.25">
      <c r="B55" s="87" t="s">
        <v>187</v>
      </c>
      <c r="C55" s="87"/>
      <c r="D55" s="90"/>
      <c r="E55" s="89">
        <f>E51*E54</f>
        <v>12676.608</v>
      </c>
      <c r="F55" s="89">
        <f t="shared" ref="F55" si="31">F51*F54</f>
        <v>13291.555536</v>
      </c>
      <c r="G55" s="89">
        <f t="shared" ref="G55:K55" si="32">G51*G54</f>
        <v>10633.244428800001</v>
      </c>
      <c r="H55" s="89">
        <f t="shared" si="32"/>
        <v>10633.244428800001</v>
      </c>
      <c r="I55" s="89">
        <f t="shared" si="32"/>
        <v>6809.7153600000001</v>
      </c>
      <c r="J55" s="89">
        <f t="shared" si="32"/>
        <v>7061.9270400000005</v>
      </c>
      <c r="K55" s="89">
        <f t="shared" si="32"/>
        <v>0</v>
      </c>
      <c r="L55" s="221" t="s">
        <v>6</v>
      </c>
      <c r="M55" s="2"/>
      <c r="N55" t="s">
        <v>188</v>
      </c>
    </row>
    <row r="57" spans="1:14" x14ac:dyDescent="0.25">
      <c r="B57" s="32" t="s">
        <v>4</v>
      </c>
      <c r="E57" s="219">
        <f>E48</f>
        <v>10563.839999999997</v>
      </c>
      <c r="F57" s="219">
        <f t="shared" ref="F57" si="33">F48</f>
        <v>39765.374879999996</v>
      </c>
      <c r="G57" s="219">
        <f t="shared" ref="G57:K57" si="34">G48</f>
        <v>39765.374879999996</v>
      </c>
      <c r="H57" s="219">
        <f t="shared" si="34"/>
        <v>39765.374879999996</v>
      </c>
      <c r="I57" s="219">
        <f t="shared" si="34"/>
        <v>61371.508799999996</v>
      </c>
      <c r="J57" s="219">
        <f t="shared" si="34"/>
        <v>60530.803199999995</v>
      </c>
      <c r="K57" s="219">
        <f t="shared" si="34"/>
        <v>84070.56</v>
      </c>
      <c r="L57" s="2" t="s">
        <v>5</v>
      </c>
      <c r="M57" s="2"/>
    </row>
    <row r="58" spans="1:14" ht="15.75" thickBot="1" x14ac:dyDescent="0.3">
      <c r="B58" s="32" t="s">
        <v>18</v>
      </c>
      <c r="E58" s="222">
        <f>VLOOKUP(E13,Einspeisevergütung!$A$19:$G$119,IF(E9="Volleinspeisung",7,6),TRUE)</f>
        <v>6.5074999999999994E-2</v>
      </c>
      <c r="F58" s="222">
        <f>VLOOKUP(F13,Einspeisevergütung!$A$19:$G$119,IF(F9="Volleinspeisung",7,6),TRUE)</f>
        <v>6.1400000000000003E-2</v>
      </c>
      <c r="G58" s="222">
        <f>VLOOKUP(G13,Einspeisevergütung!$A$19:$G$119,IF(G9="Volleinspeisung",7,6),TRUE)</f>
        <v>6.1400000000000003E-2</v>
      </c>
      <c r="H58" s="222">
        <f>VLOOKUP(H13,Einspeisevergütung!$A$19:$G$119,IF(H9="Volleinspeisung",7,6),TRUE)</f>
        <v>6.1400000000000003E-2</v>
      </c>
      <c r="I58" s="222">
        <f>VLOOKUP(I13,Einspeisevergütung!$A$19:$G$119,IF(I9="Volleinspeisung",7,6),TRUE)</f>
        <v>6.1400000000000003E-2</v>
      </c>
      <c r="J58" s="222">
        <f>VLOOKUP(J13,Einspeisevergütung!$A$19:$G$119,IF(J9="Volleinspeisung",7,6),TRUE)</f>
        <v>6.1400000000000003E-2</v>
      </c>
      <c r="K58" s="222">
        <f>VLOOKUP(K13,Einspeisevergütung!$A$19:$G$119,IF(K9="Volleinspeisung",7,6),TRUE)</f>
        <v>0.10564999999999999</v>
      </c>
      <c r="L58" s="2" t="s">
        <v>75</v>
      </c>
      <c r="M58" s="2"/>
      <c r="N58" t="s">
        <v>116</v>
      </c>
    </row>
    <row r="59" spans="1:14" ht="15.75" thickBot="1" x14ac:dyDescent="0.3">
      <c r="B59" s="32" t="s">
        <v>155</v>
      </c>
      <c r="E59" s="198">
        <v>0.01</v>
      </c>
      <c r="F59" s="198">
        <v>0.01</v>
      </c>
      <c r="G59" s="198">
        <v>0.01</v>
      </c>
      <c r="H59" s="198">
        <v>0.01</v>
      </c>
      <c r="I59" s="198">
        <v>0.01</v>
      </c>
      <c r="J59" s="198">
        <v>0.01</v>
      </c>
      <c r="K59" s="198">
        <v>0.01</v>
      </c>
      <c r="L59" s="2"/>
      <c r="M59" s="2"/>
      <c r="N59" t="s">
        <v>255</v>
      </c>
    </row>
    <row r="60" spans="1:14" x14ac:dyDescent="0.25">
      <c r="B60" s="87" t="s">
        <v>101</v>
      </c>
      <c r="C60" s="87"/>
      <c r="D60" s="87"/>
      <c r="E60" s="88">
        <f>E57*E58*(1-E59)</f>
        <v>680.56746911999971</v>
      </c>
      <c r="F60" s="88">
        <f>F57*F58*(1-F59)</f>
        <v>2417.1780774556801</v>
      </c>
      <c r="G60" s="88">
        <f t="shared" ref="G60:K60" si="35">G57*G58*(1-G59)</f>
        <v>2417.1780774556801</v>
      </c>
      <c r="H60" s="88">
        <f t="shared" si="35"/>
        <v>2417.1780774556801</v>
      </c>
      <c r="I60" s="88">
        <f t="shared" si="35"/>
        <v>3730.5285339167999</v>
      </c>
      <c r="J60" s="88">
        <f t="shared" si="35"/>
        <v>3679.4254033151997</v>
      </c>
      <c r="K60" s="88">
        <f t="shared" si="35"/>
        <v>8793.2341173599998</v>
      </c>
      <c r="L60" s="221" t="s">
        <v>6</v>
      </c>
      <c r="M60" s="2"/>
      <c r="N60" t="s">
        <v>156</v>
      </c>
    </row>
    <row r="61" spans="1:14" ht="15.75" thickBot="1" x14ac:dyDescent="0.3">
      <c r="E61" s="9"/>
      <c r="F61" s="9"/>
      <c r="G61" s="9"/>
      <c r="H61" s="9"/>
      <c r="I61" s="9"/>
      <c r="J61" s="9"/>
      <c r="K61" s="9"/>
      <c r="L61" s="2"/>
      <c r="M61" s="2"/>
    </row>
    <row r="62" spans="1:14" x14ac:dyDescent="0.25">
      <c r="B62" s="32" t="s">
        <v>189</v>
      </c>
      <c r="C62" s="224">
        <v>2.5000000000000001E-2</v>
      </c>
      <c r="D62" s="2" t="s">
        <v>2</v>
      </c>
      <c r="E62" s="273" t="str" cm="1">
        <f t="array" ref="E62">_xlfn.SWITCH(E9,"Mieterstrom",$C62*E42,"GGV",0,"entfällt")</f>
        <v>entfällt</v>
      </c>
      <c r="F62" s="273" t="str" cm="1">
        <f t="array" ref="F62">_xlfn.SWITCH(F9,"Mieterstrom",$C62*F42,"GGV",0,"entfällt")</f>
        <v>entfällt</v>
      </c>
      <c r="G62" s="275" cm="1">
        <f t="array" ref="G62">_xlfn.SWITCH(G9,"Mieterstrom",$C62*G42,"GGV",0,"entfällt")</f>
        <v>1107.6296280000001</v>
      </c>
      <c r="H62" s="275" cm="1">
        <f t="array" ref="H62">_xlfn.SWITCH(H9,"Mieterstrom",$C62*H42,"GGV",0,"entfällt")</f>
        <v>0</v>
      </c>
      <c r="I62" s="273" t="str" cm="1">
        <f t="array" ref="I62">_xlfn.SWITCH(I9,"Mieterstrom",$C62*I42,"GGV",0,"entfällt")</f>
        <v>entfällt</v>
      </c>
      <c r="J62" s="273" t="str" cm="1">
        <f t="array" ref="J62">_xlfn.SWITCH(J9,"Mieterstrom",$C62*J42,"GGV",0,"entfällt")</f>
        <v>entfällt</v>
      </c>
      <c r="K62" s="273" t="str" cm="1">
        <f t="array" ref="K62">_xlfn.SWITCH(K9,"Mieterstrom",$C62*K42,"GGV",0,"entfällt")</f>
        <v>entfällt</v>
      </c>
      <c r="L62" s="2" t="s">
        <v>166</v>
      </c>
      <c r="N62" t="s">
        <v>201</v>
      </c>
    </row>
    <row r="63" spans="1:14" x14ac:dyDescent="0.25">
      <c r="B63" s="87" t="s">
        <v>163</v>
      </c>
      <c r="C63" s="87"/>
      <c r="D63" s="87"/>
      <c r="E63" s="274" cm="1">
        <f t="array" ref="E63">_xlfn.SWITCH(E9,"Mieterstrom",E62,"GGV",E62,0)</f>
        <v>0</v>
      </c>
      <c r="F63" s="274" cm="1">
        <f t="array" ref="F63">_xlfn.SWITCH(F9,"Mieterstrom",F62,"GGV",F62,0)</f>
        <v>0</v>
      </c>
      <c r="G63" s="274" cm="1">
        <f t="array" ref="G63">_xlfn.SWITCH(G9,"Mieterstrom",G62,"GGV",G62,0)</f>
        <v>1107.6296280000001</v>
      </c>
      <c r="H63" s="274" cm="1">
        <f t="array" ref="H63">_xlfn.SWITCH(H9,"Mieterstrom",H62,"GGV",H62,0)</f>
        <v>0</v>
      </c>
      <c r="I63" s="274" cm="1">
        <f t="array" ref="I63">_xlfn.SWITCH(I9,"Mieterstrom",I62,"GGV",I62,0)</f>
        <v>0</v>
      </c>
      <c r="J63" s="274" cm="1">
        <f t="array" ref="J63">_xlfn.SWITCH(J9,"Mieterstrom",J62,"GGV",J62,0)</f>
        <v>0</v>
      </c>
      <c r="K63" s="274" cm="1">
        <f t="array" ref="K63">_xlfn.SWITCH(K9,"Mieterstrom",#REF!+K62,"GGV",#REF!+K62,0)</f>
        <v>0</v>
      </c>
      <c r="L63" s="221" t="s">
        <v>6</v>
      </c>
      <c r="N63" t="s">
        <v>165</v>
      </c>
    </row>
    <row r="64" spans="1:14" ht="15.75" thickBot="1" x14ac:dyDescent="0.3">
      <c r="E64" s="9"/>
      <c r="F64" s="9"/>
      <c r="G64" s="9"/>
      <c r="H64" s="9"/>
      <c r="I64" s="9"/>
      <c r="J64" s="9"/>
      <c r="K64" s="9"/>
      <c r="L64" s="2"/>
      <c r="M64" s="2"/>
    </row>
    <row r="65" spans="2:14" ht="15.75" thickBot="1" x14ac:dyDescent="0.3">
      <c r="B65" s="32" t="s">
        <v>157</v>
      </c>
      <c r="C65" s="223">
        <v>120</v>
      </c>
      <c r="E65" s="9">
        <f>$C65</f>
        <v>120</v>
      </c>
      <c r="F65" s="9">
        <f t="shared" ref="F65:K65" si="36">$C65</f>
        <v>120</v>
      </c>
      <c r="G65" s="9">
        <f t="shared" si="36"/>
        <v>120</v>
      </c>
      <c r="H65" s="9">
        <f t="shared" si="36"/>
        <v>120</v>
      </c>
      <c r="I65" s="9">
        <f t="shared" si="36"/>
        <v>120</v>
      </c>
      <c r="J65" s="9">
        <f t="shared" si="36"/>
        <v>120</v>
      </c>
      <c r="K65" s="9">
        <f t="shared" si="36"/>
        <v>120</v>
      </c>
      <c r="L65" s="2" t="s">
        <v>6</v>
      </c>
      <c r="M65" s="2"/>
    </row>
    <row r="66" spans="2:14" ht="15.75" thickBot="1" x14ac:dyDescent="0.3">
      <c r="B66" t="s">
        <v>146</v>
      </c>
      <c r="C66" s="225">
        <v>5.0000000000000001E-3</v>
      </c>
      <c r="D66" s="2" t="s">
        <v>102</v>
      </c>
      <c r="E66" s="212">
        <f t="shared" ref="E66:K66" si="37">E24*$C66</f>
        <v>375</v>
      </c>
      <c r="F66" s="212">
        <f t="shared" si="37"/>
        <v>570.25</v>
      </c>
      <c r="G66" s="212">
        <f t="shared" si="37"/>
        <v>620.25</v>
      </c>
      <c r="H66" s="212">
        <f t="shared" si="37"/>
        <v>620.25</v>
      </c>
      <c r="I66" s="212">
        <f t="shared" si="37"/>
        <v>545.25</v>
      </c>
      <c r="J66" s="212">
        <f t="shared" si="37"/>
        <v>545.25</v>
      </c>
      <c r="K66" s="212">
        <f t="shared" si="37"/>
        <v>545.25</v>
      </c>
      <c r="L66" s="2" t="s">
        <v>6</v>
      </c>
      <c r="M66" s="2"/>
    </row>
    <row r="67" spans="2:14" ht="15.75" thickBot="1" x14ac:dyDescent="0.3">
      <c r="B67" t="s">
        <v>251</v>
      </c>
      <c r="C67" s="223">
        <v>20</v>
      </c>
      <c r="D67" s="2" t="s">
        <v>114</v>
      </c>
      <c r="E67" s="9">
        <f t="shared" ref="E67:K67" si="38">IF(E$20=0,0,$C67*E7)</f>
        <v>1180</v>
      </c>
      <c r="F67" s="9">
        <f t="shared" si="38"/>
        <v>1180</v>
      </c>
      <c r="G67" s="9">
        <f t="shared" si="38"/>
        <v>1180</v>
      </c>
      <c r="H67" s="9">
        <f t="shared" si="38"/>
        <v>0</v>
      </c>
      <c r="I67" s="9">
        <f t="shared" si="38"/>
        <v>0</v>
      </c>
      <c r="J67" s="9">
        <f t="shared" si="38"/>
        <v>0</v>
      </c>
      <c r="K67" s="9">
        <f t="shared" si="38"/>
        <v>0</v>
      </c>
      <c r="L67" s="2" t="s">
        <v>6</v>
      </c>
      <c r="M67" s="2"/>
      <c r="N67" t="s">
        <v>256</v>
      </c>
    </row>
    <row r="68" spans="2:14" ht="15.75" thickBot="1" x14ac:dyDescent="0.3">
      <c r="B68" t="s">
        <v>237</v>
      </c>
      <c r="C68" s="226">
        <v>67</v>
      </c>
      <c r="D68" s="2" t="s">
        <v>159</v>
      </c>
      <c r="E68" s="9">
        <f>IF(E$20=0,0,$C68)</f>
        <v>67</v>
      </c>
      <c r="F68" s="9">
        <f t="shared" ref="F68:K68" si="39">IF(F$20=0,0,$C68)</f>
        <v>67</v>
      </c>
      <c r="G68" s="9">
        <f t="shared" si="39"/>
        <v>67</v>
      </c>
      <c r="H68" s="9">
        <f t="shared" si="39"/>
        <v>0</v>
      </c>
      <c r="I68" s="9">
        <f t="shared" si="39"/>
        <v>0</v>
      </c>
      <c r="J68" s="9">
        <f t="shared" si="39"/>
        <v>0</v>
      </c>
      <c r="K68" s="9">
        <f t="shared" si="39"/>
        <v>0</v>
      </c>
      <c r="L68" s="2" t="s">
        <v>6</v>
      </c>
      <c r="M68" s="2"/>
      <c r="N68" s="28" t="s">
        <v>115</v>
      </c>
    </row>
    <row r="69" spans="2:14" x14ac:dyDescent="0.25">
      <c r="B69" t="s">
        <v>241</v>
      </c>
      <c r="C69" s="2"/>
      <c r="D69" s="2"/>
      <c r="E69" s="223">
        <v>250</v>
      </c>
      <c r="F69" s="223">
        <v>250</v>
      </c>
      <c r="G69" s="223">
        <v>8500</v>
      </c>
      <c r="H69" s="223">
        <v>10000</v>
      </c>
      <c r="I69" s="223">
        <v>0</v>
      </c>
      <c r="J69" s="223">
        <v>0</v>
      </c>
      <c r="K69" s="223">
        <v>0</v>
      </c>
      <c r="L69" s="2" t="s">
        <v>6</v>
      </c>
      <c r="M69" s="2"/>
      <c r="N69" t="s">
        <v>242</v>
      </c>
    </row>
    <row r="70" spans="2:14" x14ac:dyDescent="0.25">
      <c r="B70" s="87" t="s">
        <v>203</v>
      </c>
      <c r="C70" s="87"/>
      <c r="D70" s="87"/>
      <c r="E70" s="227">
        <f t="shared" ref="E70:K70" si="40">SUM(E65:E69)</f>
        <v>1992</v>
      </c>
      <c r="F70" s="227">
        <f t="shared" si="40"/>
        <v>2187.25</v>
      </c>
      <c r="G70" s="227">
        <f t="shared" si="40"/>
        <v>10487.25</v>
      </c>
      <c r="H70" s="227">
        <f t="shared" si="40"/>
        <v>10740.25</v>
      </c>
      <c r="I70" s="227">
        <f t="shared" si="40"/>
        <v>665.25</v>
      </c>
      <c r="J70" s="227">
        <f t="shared" si="40"/>
        <v>665.25</v>
      </c>
      <c r="K70" s="227">
        <f t="shared" si="40"/>
        <v>665.25</v>
      </c>
      <c r="L70" s="221" t="s">
        <v>6</v>
      </c>
      <c r="M70" s="2"/>
      <c r="N70" t="s">
        <v>202</v>
      </c>
    </row>
    <row r="71" spans="2:14" ht="15.75" thickBot="1" x14ac:dyDescent="0.3">
      <c r="B71" s="270"/>
      <c r="C71" s="270"/>
      <c r="D71" s="270"/>
      <c r="E71" s="270"/>
      <c r="F71" s="270"/>
      <c r="G71" s="270"/>
      <c r="H71" s="270"/>
      <c r="I71" s="270"/>
      <c r="J71" s="270"/>
      <c r="K71" s="270"/>
      <c r="L71" s="270"/>
    </row>
    <row r="72" spans="2:14" s="5" customFormat="1" ht="16.5" thickTop="1" x14ac:dyDescent="0.25">
      <c r="B72" s="77" t="s">
        <v>211</v>
      </c>
      <c r="C72" s="77"/>
      <c r="D72" s="77"/>
      <c r="E72" s="78">
        <f t="shared" ref="E72:K72" si="41">E55+E60+E63-E70</f>
        <v>11365.17546912</v>
      </c>
      <c r="F72" s="78">
        <f t="shared" si="41"/>
        <v>13521.483613455679</v>
      </c>
      <c r="G72" s="78">
        <f t="shared" si="41"/>
        <v>3670.8021342556804</v>
      </c>
      <c r="H72" s="78">
        <f t="shared" si="41"/>
        <v>2310.1725062556798</v>
      </c>
      <c r="I72" s="78">
        <f t="shared" si="41"/>
        <v>9874.9938939168005</v>
      </c>
      <c r="J72" s="78">
        <f t="shared" si="41"/>
        <v>10076.1024433152</v>
      </c>
      <c r="K72" s="78">
        <f t="shared" si="41"/>
        <v>8127.9841173599998</v>
      </c>
      <c r="L72" s="79" t="s">
        <v>6</v>
      </c>
      <c r="M72" s="2"/>
      <c r="N72" t="s">
        <v>164</v>
      </c>
    </row>
    <row r="73" spans="2:14" s="4" customFormat="1" ht="18.75" x14ac:dyDescent="0.3">
      <c r="B73" s="133" t="s">
        <v>136</v>
      </c>
      <c r="C73" s="134"/>
      <c r="D73" s="135"/>
      <c r="E73" s="271">
        <f t="shared" ref="E73:K73" si="42">E72*20/E7</f>
        <v>3852.6018539389834</v>
      </c>
      <c r="F73" s="271">
        <f t="shared" si="42"/>
        <v>4583.5537672731116</v>
      </c>
      <c r="G73" s="271">
        <f t="shared" si="42"/>
        <v>1244.3397065273493</v>
      </c>
      <c r="H73" s="271">
        <f t="shared" si="42"/>
        <v>783.10932415446769</v>
      </c>
      <c r="I73" s="271">
        <f t="shared" si="42"/>
        <v>3347.4555572599324</v>
      </c>
      <c r="J73" s="271">
        <f t="shared" si="42"/>
        <v>3415.6279468865082</v>
      </c>
      <c r="K73" s="271">
        <f t="shared" si="42"/>
        <v>2755.248853342373</v>
      </c>
      <c r="L73" s="137"/>
      <c r="M73" s="138"/>
    </row>
    <row r="74" spans="2:14" x14ac:dyDescent="0.25">
      <c r="B74" s="139" t="s">
        <v>3</v>
      </c>
      <c r="C74" s="122"/>
      <c r="D74" s="123"/>
      <c r="E74" s="140">
        <f t="shared" ref="E74:K74" si="43">E24/E72</f>
        <v>6.5991062085913583</v>
      </c>
      <c r="F74" s="140">
        <f t="shared" si="43"/>
        <v>8.4347253053285538</v>
      </c>
      <c r="G74" s="140">
        <f t="shared" si="43"/>
        <v>33.793703790889104</v>
      </c>
      <c r="H74" s="140">
        <f t="shared" si="43"/>
        <v>53.697288693414436</v>
      </c>
      <c r="I74" s="140">
        <f t="shared" si="43"/>
        <v>11.043044803012693</v>
      </c>
      <c r="J74" s="140">
        <f t="shared" si="43"/>
        <v>10.822637087453112</v>
      </c>
      <c r="K74" s="140">
        <f t="shared" si="43"/>
        <v>13.416610862598469</v>
      </c>
      <c r="L74" s="96" t="s">
        <v>1</v>
      </c>
      <c r="M74" s="2"/>
      <c r="N74" t="s">
        <v>204</v>
      </c>
    </row>
    <row r="75" spans="2:14" x14ac:dyDescent="0.25">
      <c r="B75" s="142" t="s">
        <v>150</v>
      </c>
      <c r="C75" s="77"/>
      <c r="D75" s="77"/>
      <c r="E75" s="141">
        <f>YIELD(DATE(2001,1,1),DATE(2020,12,31),1/E74,100,0.01,1)</f>
        <v>0.14062266217866154</v>
      </c>
      <c r="F75" s="141">
        <f t="shared" ref="F75" si="44">YIELD(DATE(2001,1,1),DATE(2020,12,31),1/F74,100,0.01,1)</f>
        <v>0.10136018088874239</v>
      </c>
      <c r="G75" s="141">
        <f t="shared" ref="G75:K75" si="45">YIELD(DATE(2001,1,1),DATE(2020,12,31),1/G74,100,0.01,1)</f>
        <v>-4.5479803479965705E-2</v>
      </c>
      <c r="H75" s="141">
        <f t="shared" si="45"/>
        <v>-7.9920585651675355E-2</v>
      </c>
      <c r="I75" s="141">
        <f t="shared" si="45"/>
        <v>6.4713990968593982E-2</v>
      </c>
      <c r="J75" s="141">
        <f t="shared" si="45"/>
        <v>6.726305390591987E-2</v>
      </c>
      <c r="K75" s="141">
        <f t="shared" si="45"/>
        <v>4.1451754979515566E-2</v>
      </c>
      <c r="L75" s="96" t="s">
        <v>71</v>
      </c>
      <c r="M75" s="70"/>
      <c r="N75" t="s">
        <v>92</v>
      </c>
    </row>
    <row r="76" spans="2:14" x14ac:dyDescent="0.25">
      <c r="B76" s="191"/>
      <c r="C76" s="70"/>
      <c r="D76" s="70"/>
      <c r="E76" s="190"/>
      <c r="F76" s="190"/>
      <c r="G76" s="190"/>
      <c r="H76" s="190"/>
      <c r="I76" s="190"/>
      <c r="J76" s="190"/>
      <c r="K76" s="190"/>
      <c r="L76" s="70"/>
      <c r="M76" s="70"/>
    </row>
    <row r="77" spans="2:14" ht="15.75" thickBot="1" x14ac:dyDescent="0.3">
      <c r="B77" s="77" t="s">
        <v>212</v>
      </c>
      <c r="C77" s="123"/>
      <c r="D77" s="123"/>
      <c r="E77" s="284">
        <f>SUM(E78:E80)</f>
        <v>10620</v>
      </c>
      <c r="F77" s="284">
        <f t="shared" ref="F77:K77" si="46">SUM(F78:F80)</f>
        <v>10620</v>
      </c>
      <c r="G77" s="284">
        <f t="shared" si="46"/>
        <v>888.31110720000015</v>
      </c>
      <c r="H77" s="284">
        <f t="shared" si="46"/>
        <v>888.31110720000015</v>
      </c>
      <c r="I77" s="284">
        <f t="shared" si="46"/>
        <v>0</v>
      </c>
      <c r="J77" s="284">
        <f t="shared" si="46"/>
        <v>0</v>
      </c>
      <c r="K77" s="284">
        <f t="shared" si="46"/>
        <v>0</v>
      </c>
      <c r="L77" s="285" t="s">
        <v>6</v>
      </c>
      <c r="M77" s="2"/>
    </row>
    <row r="78" spans="2:14" ht="15.75" thickBot="1" x14ac:dyDescent="0.3">
      <c r="B78" s="196" t="s">
        <v>208</v>
      </c>
      <c r="C78" s="228">
        <v>180</v>
      </c>
      <c r="D78" s="229" t="s">
        <v>114</v>
      </c>
      <c r="E78" s="192">
        <f t="shared" ref="E78:K78" si="47">IF(E9="Einzählermodell",$C78*E7,0)</f>
        <v>10620</v>
      </c>
      <c r="F78" s="192">
        <f t="shared" si="47"/>
        <v>10620</v>
      </c>
      <c r="G78" s="192">
        <f t="shared" si="47"/>
        <v>0</v>
      </c>
      <c r="H78" s="192">
        <f t="shared" si="47"/>
        <v>0</v>
      </c>
      <c r="I78" s="192">
        <f t="shared" si="47"/>
        <v>0</v>
      </c>
      <c r="J78" s="192">
        <f t="shared" si="47"/>
        <v>0</v>
      </c>
      <c r="K78" s="192">
        <f t="shared" si="47"/>
        <v>0</v>
      </c>
      <c r="L78" s="229" t="s">
        <v>6</v>
      </c>
      <c r="M78" s="2"/>
      <c r="N78" t="s">
        <v>175</v>
      </c>
    </row>
    <row r="79" spans="2:14" ht="15.75" thickBot="1" x14ac:dyDescent="0.3">
      <c r="B79" s="282" t="s">
        <v>207</v>
      </c>
      <c r="C79" s="283"/>
      <c r="D79" s="280"/>
      <c r="E79" s="281">
        <f t="shared" ref="E79:K79" si="48">E51*(E52-E54)</f>
        <v>0</v>
      </c>
      <c r="F79" s="281">
        <f t="shared" si="48"/>
        <v>0</v>
      </c>
      <c r="G79" s="281">
        <f t="shared" si="48"/>
        <v>2658.3111072000002</v>
      </c>
      <c r="H79" s="281">
        <f t="shared" si="48"/>
        <v>2658.3111072000002</v>
      </c>
      <c r="I79" s="281">
        <f t="shared" si="48"/>
        <v>0</v>
      </c>
      <c r="J79" s="281">
        <f t="shared" si="48"/>
        <v>0</v>
      </c>
      <c r="K79" s="281">
        <f t="shared" si="48"/>
        <v>0</v>
      </c>
      <c r="L79" s="280" t="s">
        <v>6</v>
      </c>
      <c r="M79" s="2"/>
    </row>
    <row r="80" spans="2:14" ht="15.75" thickBot="1" x14ac:dyDescent="0.3">
      <c r="B80" s="282" t="s">
        <v>243</v>
      </c>
      <c r="C80" s="228">
        <v>30</v>
      </c>
      <c r="D80" s="280" t="s">
        <v>114</v>
      </c>
      <c r="E80" s="281" cm="1">
        <f t="array" ref="E80">_xlfn.SWITCH(E9,"Mieterstrom",-$C80*E7,"GGV",-$C80*E7,0)</f>
        <v>0</v>
      </c>
      <c r="F80" s="281" cm="1">
        <f t="array" ref="F80">_xlfn.SWITCH(F9,"Mieterstrom",-$C80*F7,"GGV",-$C80*F7,0)</f>
        <v>0</v>
      </c>
      <c r="G80" s="281" cm="1">
        <f t="array" ref="G80">_xlfn.SWITCH(G9,"Mieterstrom",-$C80*G7,"GGV",-$C80*G7,0)</f>
        <v>-1770</v>
      </c>
      <c r="H80" s="281" cm="1">
        <f t="array" ref="H80">_xlfn.SWITCH(H9,"Mieterstrom",-$C80*H7,"GGV",-$C80*H7,0)</f>
        <v>-1770</v>
      </c>
      <c r="I80" s="281" cm="1">
        <f t="array" ref="I80">_xlfn.SWITCH(I9,"Mieterstrom",-$C80*I7,"GGV",-$C80*I7,0)</f>
        <v>0</v>
      </c>
      <c r="J80" s="281" cm="1">
        <f t="array" ref="J80">_xlfn.SWITCH(J9,"Mieterstrom",-$C80*J7,"GGV",-$C80*J7,0)</f>
        <v>0</v>
      </c>
      <c r="K80" s="281" cm="1">
        <f t="array" ref="K80">_xlfn.SWITCH(K9,"Mieterstrom",-$C80*K7,"GGV",-$C80*K7,0)</f>
        <v>0</v>
      </c>
      <c r="L80" s="280" t="s">
        <v>6</v>
      </c>
      <c r="M80" s="2"/>
    </row>
    <row r="81" spans="1:14" ht="15.75" thickBot="1" x14ac:dyDescent="0.3">
      <c r="B81" s="193"/>
      <c r="C81" s="194"/>
      <c r="D81" s="194"/>
      <c r="E81" s="195"/>
      <c r="F81" s="195"/>
      <c r="G81" s="195"/>
      <c r="H81" s="195"/>
      <c r="I81" s="195"/>
      <c r="J81" s="195"/>
      <c r="K81" s="195"/>
      <c r="L81" s="194"/>
      <c r="M81" s="70"/>
    </row>
    <row r="82" spans="1:14" ht="15.75" thickTop="1" x14ac:dyDescent="0.25">
      <c r="B82" s="77" t="s">
        <v>213</v>
      </c>
      <c r="C82" s="77"/>
      <c r="D82" s="77"/>
      <c r="E82" s="78">
        <f>E72+E77</f>
        <v>21985.17546912</v>
      </c>
      <c r="F82" s="78">
        <f t="shared" ref="F82:K82" si="49">F72+F77</f>
        <v>24141.483613455679</v>
      </c>
      <c r="G82" s="78">
        <f t="shared" si="49"/>
        <v>4559.1132414556805</v>
      </c>
      <c r="H82" s="78">
        <f t="shared" si="49"/>
        <v>3198.4836134556799</v>
      </c>
      <c r="I82" s="78">
        <f t="shared" si="49"/>
        <v>9874.9938939168005</v>
      </c>
      <c r="J82" s="78">
        <f t="shared" si="49"/>
        <v>10076.1024433152</v>
      </c>
      <c r="K82" s="78">
        <f t="shared" si="49"/>
        <v>8127.9841173599998</v>
      </c>
      <c r="L82" s="79" t="s">
        <v>6</v>
      </c>
      <c r="M82" s="2"/>
      <c r="N82" t="s">
        <v>209</v>
      </c>
    </row>
    <row r="83" spans="1:14" s="4" customFormat="1" ht="18.75" x14ac:dyDescent="0.3">
      <c r="B83" s="133" t="s">
        <v>136</v>
      </c>
      <c r="C83" s="134"/>
      <c r="D83" s="135"/>
      <c r="E83" s="271">
        <f t="shared" ref="E83:K83" si="50">E82*20/E7</f>
        <v>7452.6018539389834</v>
      </c>
      <c r="F83" s="271">
        <f t="shared" si="50"/>
        <v>8183.5537672731116</v>
      </c>
      <c r="G83" s="271">
        <f t="shared" si="50"/>
        <v>1545.4621157476884</v>
      </c>
      <c r="H83" s="271">
        <f t="shared" si="50"/>
        <v>1084.2317333748067</v>
      </c>
      <c r="I83" s="271">
        <f t="shared" si="50"/>
        <v>3347.4555572599324</v>
      </c>
      <c r="J83" s="271">
        <f t="shared" si="50"/>
        <v>3415.6279468865082</v>
      </c>
      <c r="K83" s="271">
        <f t="shared" si="50"/>
        <v>2755.248853342373</v>
      </c>
      <c r="L83" s="136"/>
      <c r="M83" s="272"/>
      <c r="N83" s="4" t="s">
        <v>120</v>
      </c>
    </row>
    <row r="84" spans="1:14" x14ac:dyDescent="0.25">
      <c r="B84" s="139" t="s">
        <v>3</v>
      </c>
      <c r="C84" s="122"/>
      <c r="D84" s="123"/>
      <c r="E84" s="140">
        <f t="shared" ref="E84:K84" si="51">E24/E82</f>
        <v>3.4113896477807835</v>
      </c>
      <c r="F84" s="140">
        <f t="shared" si="51"/>
        <v>4.7242332669410692</v>
      </c>
      <c r="G84" s="140">
        <f t="shared" si="51"/>
        <v>27.209238601933045</v>
      </c>
      <c r="H84" s="140">
        <f t="shared" si="51"/>
        <v>38.784003606626236</v>
      </c>
      <c r="I84" s="140">
        <f t="shared" si="51"/>
        <v>11.043044803012693</v>
      </c>
      <c r="J84" s="140">
        <f t="shared" si="51"/>
        <v>10.822637087453112</v>
      </c>
      <c r="K84" s="140">
        <f t="shared" si="51"/>
        <v>13.416610862598469</v>
      </c>
      <c r="L84" s="96" t="s">
        <v>1</v>
      </c>
      <c r="M84" s="70"/>
      <c r="N84" t="s">
        <v>204</v>
      </c>
    </row>
    <row r="85" spans="1:14" x14ac:dyDescent="0.25">
      <c r="B85" s="139" t="s">
        <v>151</v>
      </c>
      <c r="C85" s="122"/>
      <c r="D85" s="123"/>
      <c r="E85" s="141">
        <f>YIELD(DATE(2001,1,1),DATE(2020,12,31),1/E84,100,0.01,1)</f>
        <v>0.29134268884116116</v>
      </c>
      <c r="F85" s="141">
        <f t="shared" ref="F85" si="52">YIELD(DATE(2001,1,1),DATE(2020,12,31),1/F84,100,0.01,1)</f>
        <v>0.20672389325437454</v>
      </c>
      <c r="G85" s="141">
        <f t="shared" ref="G85:K85" si="53">YIELD(DATE(2001,1,1),DATE(2020,12,31),1/G84,100,0.01,1)</f>
        <v>-2.7682175659872566E-2</v>
      </c>
      <c r="H85" s="141">
        <f t="shared" si="53"/>
        <v>-5.6188423923875158E-2</v>
      </c>
      <c r="I85" s="141">
        <f t="shared" si="53"/>
        <v>6.4713990968593982E-2</v>
      </c>
      <c r="J85" s="141">
        <f t="shared" si="53"/>
        <v>6.726305390591987E-2</v>
      </c>
      <c r="K85" s="141">
        <f t="shared" si="53"/>
        <v>4.1451754979515566E-2</v>
      </c>
      <c r="L85" s="96" t="s">
        <v>71</v>
      </c>
      <c r="M85" s="70"/>
      <c r="N85" t="s">
        <v>92</v>
      </c>
    </row>
    <row r="86" spans="1:14" x14ac:dyDescent="0.25">
      <c r="B86" s="191"/>
      <c r="C86" s="70"/>
      <c r="D86" s="70"/>
      <c r="E86" s="190"/>
      <c r="F86" s="190"/>
      <c r="G86" s="190"/>
      <c r="H86" s="190"/>
      <c r="I86" s="190"/>
      <c r="J86" s="190"/>
      <c r="K86" s="190"/>
      <c r="L86" s="70"/>
      <c r="M86" s="70"/>
    </row>
    <row r="87" spans="1:14" s="5" customFormat="1" ht="15.75" x14ac:dyDescent="0.25">
      <c r="B87" s="107" t="s">
        <v>125</v>
      </c>
      <c r="C87" s="230" t="s">
        <v>126</v>
      </c>
      <c r="D87" s="231"/>
      <c r="E87" s="232"/>
      <c r="F87" s="232"/>
      <c r="G87" s="232"/>
      <c r="H87" s="232"/>
      <c r="I87" s="232"/>
      <c r="J87" s="232"/>
      <c r="K87" s="232"/>
      <c r="L87" s="233"/>
      <c r="M87" s="70"/>
      <c r="N87"/>
    </row>
    <row r="88" spans="1:14" s="5" customFormat="1" ht="15.75" x14ac:dyDescent="0.25">
      <c r="B88" s="110"/>
      <c r="C88" s="230" t="s">
        <v>127</v>
      </c>
      <c r="D88" s="230"/>
      <c r="E88" s="232"/>
      <c r="F88" s="232"/>
      <c r="G88" s="232"/>
      <c r="H88" s="232"/>
      <c r="I88" s="232"/>
      <c r="J88" s="232"/>
      <c r="K88" s="232"/>
      <c r="L88" s="233"/>
      <c r="M88" s="70"/>
      <c r="N88"/>
    </row>
    <row r="89" spans="1:14" s="5" customFormat="1" ht="15.75" x14ac:dyDescent="0.25">
      <c r="B89" s="14"/>
      <c r="C89" s="70"/>
      <c r="D89" s="70"/>
      <c r="E89" s="234"/>
      <c r="F89" s="234"/>
      <c r="G89" s="234"/>
      <c r="H89" s="234"/>
      <c r="I89" s="234"/>
      <c r="J89" s="234"/>
      <c r="K89" s="234"/>
      <c r="L89" s="70"/>
      <c r="M89" s="70"/>
      <c r="N89"/>
    </row>
    <row r="90" spans="1:14" s="76" customFormat="1" ht="21" x14ac:dyDescent="0.35">
      <c r="A90" s="74" t="s">
        <v>121</v>
      </c>
      <c r="B90" s="75"/>
      <c r="C90" s="235"/>
      <c r="D90" s="235"/>
      <c r="E90" s="236"/>
      <c r="F90" s="236"/>
      <c r="G90" s="236"/>
      <c r="H90" s="236"/>
      <c r="I90" s="236"/>
      <c r="J90" s="236"/>
      <c r="K90" s="236"/>
      <c r="L90" s="235"/>
      <c r="M90" s="235"/>
      <c r="N90" s="264"/>
    </row>
    <row r="91" spans="1:14" s="65" customFormat="1" ht="16.5" thickBot="1" x14ac:dyDescent="0.3">
      <c r="B91" s="98" t="s">
        <v>80</v>
      </c>
      <c r="C91" s="237"/>
      <c r="D91" s="238"/>
      <c r="E91" s="239">
        <f t="shared" ref="E91:K91" si="54">E24/E7</f>
        <v>1271.1864406779662</v>
      </c>
      <c r="F91" s="239">
        <f t="shared" si="54"/>
        <v>1933.050847457627</v>
      </c>
      <c r="G91" s="239">
        <f t="shared" si="54"/>
        <v>2102.5423728813557</v>
      </c>
      <c r="H91" s="239">
        <f t="shared" si="54"/>
        <v>2102.5423728813557</v>
      </c>
      <c r="I91" s="239">
        <f t="shared" si="54"/>
        <v>1848.3050847457628</v>
      </c>
      <c r="J91" s="239">
        <f t="shared" si="54"/>
        <v>1848.3050847457628</v>
      </c>
      <c r="K91" s="239">
        <f t="shared" si="54"/>
        <v>1848.3050847457628</v>
      </c>
      <c r="L91" s="240" t="s">
        <v>90</v>
      </c>
      <c r="M91" s="265"/>
      <c r="N91" s="265"/>
    </row>
    <row r="92" spans="1:14" s="5" customFormat="1" ht="16.5" thickBot="1" x14ac:dyDescent="0.3">
      <c r="B92" s="106" t="s">
        <v>81</v>
      </c>
      <c r="C92" s="205">
        <v>20</v>
      </c>
      <c r="D92" s="241" t="s">
        <v>44</v>
      </c>
      <c r="E92" s="242">
        <f>E91/$C92/12</f>
        <v>5.296610169491526</v>
      </c>
      <c r="F92" s="242">
        <f t="shared" ref="F92" si="55">F91/$C92/12</f>
        <v>8.0543785310734464</v>
      </c>
      <c r="G92" s="242">
        <f t="shared" ref="G92:K92" si="56">G91/$C92/12</f>
        <v>8.7605932203389827</v>
      </c>
      <c r="H92" s="242">
        <f t="shared" si="56"/>
        <v>8.7605932203389827</v>
      </c>
      <c r="I92" s="242">
        <f t="shared" si="56"/>
        <v>7.7012711864406782</v>
      </c>
      <c r="J92" s="242">
        <f t="shared" si="56"/>
        <v>7.7012711864406782</v>
      </c>
      <c r="K92" s="242">
        <f t="shared" si="56"/>
        <v>7.7012711864406782</v>
      </c>
      <c r="L92" s="243" t="s">
        <v>91</v>
      </c>
      <c r="M92"/>
      <c r="N92"/>
    </row>
    <row r="93" spans="1:14" s="5" customFormat="1" ht="16.5" thickBot="1" x14ac:dyDescent="0.3">
      <c r="B93" s="106" t="s">
        <v>122</v>
      </c>
      <c r="C93" s="244">
        <v>0.06</v>
      </c>
      <c r="D93" s="241" t="s">
        <v>79</v>
      </c>
      <c r="E93" s="245"/>
      <c r="F93" s="245"/>
      <c r="G93" s="245"/>
      <c r="H93" s="245"/>
      <c r="I93" s="245"/>
      <c r="J93" s="245"/>
      <c r="K93" s="245"/>
      <c r="L93" s="246"/>
      <c r="M93"/>
      <c r="N93" t="s">
        <v>117</v>
      </c>
    </row>
    <row r="94" spans="1:14" s="5" customFormat="1" ht="15.75" x14ac:dyDescent="0.25">
      <c r="B94" s="132" t="s">
        <v>103</v>
      </c>
      <c r="C94" s="247"/>
      <c r="D94" s="245"/>
      <c r="E94" s="248">
        <f t="shared" ref="E94:K94" si="57">IF(E85&lt;$C93,"Nicht möglich",NPER($C93,E82,-E24,0,0))</f>
        <v>3.9303118148521379</v>
      </c>
      <c r="F94" s="248">
        <f t="shared" si="57"/>
        <v>5.7202518112953564</v>
      </c>
      <c r="G94" s="248" t="str">
        <f t="shared" si="57"/>
        <v>Nicht möglich</v>
      </c>
      <c r="H94" s="248" t="str">
        <f t="shared" si="57"/>
        <v>Nicht möglich</v>
      </c>
      <c r="I94" s="248">
        <f t="shared" si="57"/>
        <v>18.64518892979715</v>
      </c>
      <c r="J94" s="248">
        <f t="shared" si="57"/>
        <v>17.985409288733656</v>
      </c>
      <c r="K94" s="248" t="str">
        <f t="shared" si="57"/>
        <v>Nicht möglich</v>
      </c>
      <c r="L94" s="249" t="s">
        <v>1</v>
      </c>
      <c r="M94"/>
      <c r="N94"/>
    </row>
    <row r="95" spans="1:14" s="5" customFormat="1" ht="15.75" x14ac:dyDescent="0.25">
      <c r="B95" s="132" t="s">
        <v>104</v>
      </c>
      <c r="C95" s="250"/>
      <c r="D95" s="245"/>
      <c r="E95" s="251">
        <f t="shared" ref="E95:K95" si="58">IF(E75&lt;$C93,"Nicht möglich",NPER($C93,E72,-E24,0,0))</f>
        <v>8.6511368411111924</v>
      </c>
      <c r="F95" s="251">
        <f t="shared" si="58"/>
        <v>12.105750119962517</v>
      </c>
      <c r="G95" s="251" t="str">
        <f t="shared" si="58"/>
        <v>Nicht möglich</v>
      </c>
      <c r="H95" s="251" t="str">
        <f t="shared" si="58"/>
        <v>Nicht möglich</v>
      </c>
      <c r="I95" s="251">
        <f t="shared" si="58"/>
        <v>18.64518892979715</v>
      </c>
      <c r="J95" s="251">
        <f t="shared" si="58"/>
        <v>17.985409288733656</v>
      </c>
      <c r="K95" s="251" t="str">
        <f t="shared" si="58"/>
        <v>Nicht möglich</v>
      </c>
      <c r="L95" s="249" t="s">
        <v>1</v>
      </c>
      <c r="M95"/>
      <c r="N95"/>
    </row>
    <row r="96" spans="1:14" s="5" customFormat="1" ht="15.75" x14ac:dyDescent="0.25">
      <c r="B96" s="14"/>
      <c r="C96" s="70"/>
      <c r="D96" s="70"/>
      <c r="E96" s="234"/>
      <c r="F96" s="234"/>
      <c r="G96" s="234"/>
      <c r="H96" s="234"/>
      <c r="I96" s="234"/>
      <c r="J96" s="234"/>
      <c r="K96" s="234"/>
      <c r="L96" s="70"/>
      <c r="M96" s="70"/>
      <c r="N96"/>
    </row>
    <row r="97" spans="1:14" s="73" customFormat="1" ht="18.75" x14ac:dyDescent="0.3">
      <c r="A97" s="73" t="s">
        <v>51</v>
      </c>
      <c r="C97" s="252"/>
      <c r="D97" s="252"/>
      <c r="E97" s="252"/>
      <c r="F97" s="252"/>
      <c r="G97" s="252"/>
      <c r="H97" s="252"/>
      <c r="I97" s="252"/>
      <c r="J97" s="252"/>
      <c r="K97" s="252"/>
      <c r="L97" s="252"/>
      <c r="M97" s="252"/>
      <c r="N97" s="252"/>
    </row>
    <row r="98" spans="1:14" s="70" customFormat="1" x14ac:dyDescent="0.25">
      <c r="B98" s="148" t="s">
        <v>182</v>
      </c>
      <c r="C98" s="149"/>
      <c r="D98" s="150"/>
      <c r="E98" s="121">
        <f t="shared" ref="E98:K98" si="59">E42</f>
        <v>42255.360000000001</v>
      </c>
      <c r="F98" s="121">
        <f t="shared" si="59"/>
        <v>44305.185120000002</v>
      </c>
      <c r="G98" s="121">
        <f t="shared" si="59"/>
        <v>44305.185120000002</v>
      </c>
      <c r="H98" s="121">
        <f t="shared" si="59"/>
        <v>44305.185120000002</v>
      </c>
      <c r="I98" s="121">
        <f t="shared" si="59"/>
        <v>22699.051200000002</v>
      </c>
      <c r="J98" s="121">
        <f t="shared" si="59"/>
        <v>23539.756800000003</v>
      </c>
      <c r="K98" s="121">
        <f t="shared" si="59"/>
        <v>0</v>
      </c>
      <c r="L98" s="99" t="s">
        <v>5</v>
      </c>
      <c r="N98" t="s">
        <v>36</v>
      </c>
    </row>
    <row r="99" spans="1:14" x14ac:dyDescent="0.25">
      <c r="B99" s="152" t="s">
        <v>46</v>
      </c>
      <c r="C99" s="253">
        <v>106</v>
      </c>
      <c r="D99" s="254" t="s">
        <v>42</v>
      </c>
      <c r="E99" s="219">
        <f t="shared" ref="E99:K99" si="60">E14*$C99/20</f>
        <v>0</v>
      </c>
      <c r="F99" s="219">
        <f t="shared" si="60"/>
        <v>0</v>
      </c>
      <c r="G99" s="219">
        <f t="shared" si="60"/>
        <v>0</v>
      </c>
      <c r="H99" s="219">
        <f t="shared" si="60"/>
        <v>0</v>
      </c>
      <c r="I99" s="219">
        <f t="shared" si="60"/>
        <v>0</v>
      </c>
      <c r="J99" s="219">
        <f t="shared" si="60"/>
        <v>0</v>
      </c>
      <c r="K99" s="219">
        <f t="shared" si="60"/>
        <v>0</v>
      </c>
      <c r="L99" t="s">
        <v>47</v>
      </c>
      <c r="N99" s="28" t="s">
        <v>41</v>
      </c>
    </row>
    <row r="100" spans="1:14" ht="15.75" x14ac:dyDescent="0.25">
      <c r="B100" s="151" t="s">
        <v>12</v>
      </c>
      <c r="C100" s="255">
        <v>0.68400000000000005</v>
      </c>
      <c r="D100" s="256" t="s">
        <v>42</v>
      </c>
      <c r="E100" s="121">
        <f>E98*$C100-E99</f>
        <v>28902.666240000002</v>
      </c>
      <c r="F100" s="121">
        <f t="shared" ref="F100:K100" si="61">F98*$C100-F99</f>
        <v>30304.746622080005</v>
      </c>
      <c r="G100" s="121">
        <f t="shared" si="61"/>
        <v>30304.746622080005</v>
      </c>
      <c r="H100" s="121">
        <f t="shared" si="61"/>
        <v>30304.746622080005</v>
      </c>
      <c r="I100" s="121">
        <f t="shared" si="61"/>
        <v>15526.151020800002</v>
      </c>
      <c r="J100" s="121">
        <f t="shared" si="61"/>
        <v>16101.193651200003</v>
      </c>
      <c r="K100" s="121">
        <f t="shared" si="61"/>
        <v>0</v>
      </c>
      <c r="L100" s="102" t="s">
        <v>47</v>
      </c>
      <c r="N100" s="266" t="s">
        <v>13</v>
      </c>
    </row>
    <row r="101" spans="1:14" s="5" customFormat="1" ht="15.75" x14ac:dyDescent="0.25">
      <c r="B101" s="127" t="s">
        <v>14</v>
      </c>
      <c r="C101" s="257">
        <f>10000/6000</f>
        <v>1.6666666666666667</v>
      </c>
      <c r="D101" s="258" t="s">
        <v>38</v>
      </c>
      <c r="E101" s="259">
        <f>E100*$C101</f>
        <v>48171.110400000005</v>
      </c>
      <c r="F101" s="259">
        <f t="shared" ref="F101" si="62">F100*$C101</f>
        <v>50507.911036800011</v>
      </c>
      <c r="G101" s="259">
        <f t="shared" ref="G101:K101" si="63">G100*$C101</f>
        <v>50507.911036800011</v>
      </c>
      <c r="H101" s="259">
        <f t="shared" si="63"/>
        <v>50507.911036800011</v>
      </c>
      <c r="I101" s="259">
        <f t="shared" si="63"/>
        <v>25876.918368000002</v>
      </c>
      <c r="J101" s="259">
        <f t="shared" si="63"/>
        <v>26835.322752000007</v>
      </c>
      <c r="K101" s="259">
        <f t="shared" si="63"/>
        <v>0</v>
      </c>
      <c r="L101" s="102" t="s">
        <v>48</v>
      </c>
      <c r="M101" s="70"/>
      <c r="N101" s="266" t="s">
        <v>15</v>
      </c>
    </row>
    <row r="102" spans="1:14" s="5" customFormat="1" ht="15.75" x14ac:dyDescent="0.25">
      <c r="B102" s="127"/>
      <c r="C102" s="257">
        <v>7140</v>
      </c>
      <c r="D102" s="258" t="s">
        <v>73</v>
      </c>
      <c r="E102" s="260">
        <f>E101/$C102</f>
        <v>6.7466541176470596</v>
      </c>
      <c r="F102" s="260">
        <f t="shared" ref="F102" si="64">F101/$C102</f>
        <v>7.0739371200000019</v>
      </c>
      <c r="G102" s="260">
        <f t="shared" ref="G102:K102" si="65">G101/$C102</f>
        <v>7.0739371200000019</v>
      </c>
      <c r="H102" s="260">
        <f t="shared" si="65"/>
        <v>7.0739371200000019</v>
      </c>
      <c r="I102" s="260">
        <f t="shared" si="65"/>
        <v>3.6242182588235297</v>
      </c>
      <c r="J102" s="260">
        <f t="shared" si="65"/>
        <v>3.7584485647058834</v>
      </c>
      <c r="K102" s="260">
        <f t="shared" si="65"/>
        <v>0</v>
      </c>
      <c r="L102" s="102" t="s">
        <v>74</v>
      </c>
      <c r="M102" s="70"/>
      <c r="N102" s="266"/>
    </row>
    <row r="103" spans="1:14" ht="16.5" thickBot="1" x14ac:dyDescent="0.3">
      <c r="B103" s="127" t="s">
        <v>53</v>
      </c>
      <c r="C103" s="261">
        <v>10500</v>
      </c>
      <c r="D103" s="258" t="s">
        <v>39</v>
      </c>
      <c r="E103" s="260">
        <f>E100/$C103</f>
        <v>2.75263488</v>
      </c>
      <c r="F103" s="260">
        <f t="shared" ref="F103" si="66">F100/$C103</f>
        <v>2.8861663449600004</v>
      </c>
      <c r="G103" s="260">
        <f t="shared" ref="G103:K103" si="67">G100/$C103</f>
        <v>2.8861663449600004</v>
      </c>
      <c r="H103" s="260">
        <f t="shared" si="67"/>
        <v>2.8861663449600004</v>
      </c>
      <c r="I103" s="260">
        <f t="shared" si="67"/>
        <v>1.4786810496000002</v>
      </c>
      <c r="J103" s="260">
        <f t="shared" si="67"/>
        <v>1.5334470144000003</v>
      </c>
      <c r="K103" s="260">
        <f t="shared" si="67"/>
        <v>0</v>
      </c>
      <c r="L103" s="105" t="s">
        <v>49</v>
      </c>
      <c r="N103" s="28" t="s">
        <v>37</v>
      </c>
    </row>
    <row r="104" spans="1:14" ht="16.5" thickBot="1" x14ac:dyDescent="0.3">
      <c r="B104" s="127" t="s">
        <v>52</v>
      </c>
      <c r="C104" s="94">
        <v>20</v>
      </c>
      <c r="D104" s="258" t="s">
        <v>40</v>
      </c>
      <c r="E104" s="259">
        <f>E98/$C104*100</f>
        <v>211276.79999999999</v>
      </c>
      <c r="F104" s="259">
        <f t="shared" ref="F104" si="68">F98/$C104*100</f>
        <v>221525.92560000002</v>
      </c>
      <c r="G104" s="259">
        <f t="shared" ref="G104:K104" si="69">G98/$C104*100</f>
        <v>221525.92560000002</v>
      </c>
      <c r="H104" s="259">
        <f t="shared" si="69"/>
        <v>221525.92560000002</v>
      </c>
      <c r="I104" s="259">
        <f t="shared" si="69"/>
        <v>113495.25600000002</v>
      </c>
      <c r="J104" s="259">
        <f t="shared" si="69"/>
        <v>117698.78400000003</v>
      </c>
      <c r="K104" s="259">
        <f t="shared" si="69"/>
        <v>0</v>
      </c>
      <c r="L104" s="102" t="s">
        <v>50</v>
      </c>
    </row>
  </sheetData>
  <phoneticPr fontId="14" type="noConversion"/>
  <hyperlinks>
    <hyperlink ref="N99" r:id="rId1" display="https://www.ffe.de/veroeffentlichungen/umweltbilanz-von-elektrofahrzeugen-potenziale-der-kreislaufwirtschaft/" xr:uid="{009159C3-64DF-41C4-A5E5-7335E0B4237C}"/>
    <hyperlink ref="N103" r:id="rId2" display="https://www.umweltbundesamt.de/bild/durchschnittlicher-co2-fussabdruck-pro-kopf-in" xr:uid="{E6EAC674-09A8-425F-A194-82AA6C52DD9C}"/>
    <hyperlink ref="N101" r:id="rId3" location=":~:text=Faustformel%3A%20Ein%20Hektar%20Wald%20%E2%80%9Cspeichert,Tonne%20CO2%20%E2%80%9Cgespeichert%E2%80%9D." xr:uid="{F6816477-FA0C-439C-B512-72AA2BEE4788}"/>
    <hyperlink ref="N100" r:id="rId4" location="%C3%96kobilanz" xr:uid="{8EA55BFE-2A40-45D8-9B13-DCE9B4E5D929}"/>
    <hyperlink ref="N68" r:id="rId5" display="https://assets.ctfassets.net/xytfb1vrn7of/fEyKny9vSL0zsgtzvGjiv/6f6fe41313fa7b200ed51694c32dc96c/messpreise-fuer-einspeiser-nach-dem-kraft-waerme-kopplungsgesetz-2022.pdf" xr:uid="{86D4B539-AB59-427F-85C2-86432450173D}"/>
    <hyperlink ref="N54" r:id="rId6" xr:uid="{0E4470FA-CA70-45E8-AA6C-6F069C6B156B}"/>
    <hyperlink ref="N3" r:id="rId7" xr:uid="{EB09BEAB-C7B5-4957-B916-729C444F4302}"/>
  </hyperlinks>
  <pageMargins left="0.7" right="0.7" top="0.75" bottom="0.75" header="0.3" footer="0.3"/>
  <pageSetup paperSize="9" orientation="portrait" r:id="rId8"/>
  <legacyDrawing r:id="rId9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FE7203F-373D-4F6B-BF24-EC44B033A496}">
          <x14:formula1>
            <xm:f>Betriebsmodelle!$B$3:$B$8</xm:f>
          </x14:formula1>
          <xm:sqref>E9:K9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86E0-4470-43B3-9DF6-1246C750AB14}">
  <dimension ref="A2:C23"/>
  <sheetViews>
    <sheetView workbookViewId="0">
      <selection activeCell="A5" sqref="A5"/>
    </sheetView>
  </sheetViews>
  <sheetFormatPr defaultRowHeight="15" x14ac:dyDescent="0.25"/>
  <cols>
    <col min="1" max="1" width="34.7109375" customWidth="1"/>
  </cols>
  <sheetData>
    <row r="2" spans="1:3" x14ac:dyDescent="0.25">
      <c r="A2" t="s">
        <v>195</v>
      </c>
    </row>
    <row r="3" spans="1:3" x14ac:dyDescent="0.25">
      <c r="B3" t="s">
        <v>198</v>
      </c>
    </row>
    <row r="4" spans="1:3" x14ac:dyDescent="0.25">
      <c r="B4" t="s">
        <v>196</v>
      </c>
    </row>
    <row r="5" spans="1:3" x14ac:dyDescent="0.25">
      <c r="B5" t="s">
        <v>197</v>
      </c>
    </row>
    <row r="7" spans="1:3" x14ac:dyDescent="0.25">
      <c r="A7" t="s">
        <v>105</v>
      </c>
      <c r="B7" t="s">
        <v>107</v>
      </c>
    </row>
    <row r="8" spans="1:3" x14ac:dyDescent="0.25">
      <c r="B8" t="s">
        <v>132</v>
      </c>
    </row>
    <row r="9" spans="1:3" x14ac:dyDescent="0.25">
      <c r="C9" s="28" t="s">
        <v>108</v>
      </c>
    </row>
    <row r="10" spans="1:3" x14ac:dyDescent="0.25">
      <c r="C10" s="84" t="s">
        <v>109</v>
      </c>
    </row>
    <row r="11" spans="1:3" x14ac:dyDescent="0.25">
      <c r="C11" s="84" t="s">
        <v>110</v>
      </c>
    </row>
    <row r="12" spans="1:3" x14ac:dyDescent="0.25">
      <c r="C12" s="84" t="s">
        <v>111</v>
      </c>
    </row>
    <row r="13" spans="1:3" x14ac:dyDescent="0.25">
      <c r="C13" s="84" t="s">
        <v>153</v>
      </c>
    </row>
    <row r="14" spans="1:3" x14ac:dyDescent="0.25">
      <c r="C14" s="84" t="s">
        <v>112</v>
      </c>
    </row>
    <row r="15" spans="1:3" x14ac:dyDescent="0.25">
      <c r="C15" s="84" t="s">
        <v>113</v>
      </c>
    </row>
    <row r="17" spans="1:2" ht="15.75" x14ac:dyDescent="0.25">
      <c r="A17" s="17" t="s">
        <v>19</v>
      </c>
      <c r="B17" s="17" t="s">
        <v>123</v>
      </c>
    </row>
    <row r="19" spans="1:2" x14ac:dyDescent="0.25">
      <c r="A19" t="s">
        <v>20</v>
      </c>
      <c r="B19" t="s">
        <v>147</v>
      </c>
    </row>
    <row r="21" spans="1:2" x14ac:dyDescent="0.25">
      <c r="A21" t="s">
        <v>21</v>
      </c>
      <c r="B21" t="s">
        <v>148</v>
      </c>
    </row>
    <row r="23" spans="1:2" x14ac:dyDescent="0.25">
      <c r="A23" t="s">
        <v>22</v>
      </c>
      <c r="B23" t="s">
        <v>149</v>
      </c>
    </row>
  </sheetData>
  <hyperlinks>
    <hyperlink ref="C9" r:id="rId1" display="https://re.jrc.ec.europa.eu/pvg_tools/en/" xr:uid="{7791BCF6-5E96-40F3-A099-B89B6209B1A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9628-5621-49FA-8BDD-060AB55A5631}">
  <dimension ref="A1:L39"/>
  <sheetViews>
    <sheetView topLeftCell="A8" zoomScaleNormal="100" workbookViewId="0">
      <selection sqref="A1:L39"/>
    </sheetView>
  </sheetViews>
  <sheetFormatPr defaultRowHeight="15" x14ac:dyDescent="0.25"/>
  <cols>
    <col min="1" max="1" width="5.28515625" customWidth="1"/>
    <col min="2" max="2" width="43.5703125" customWidth="1"/>
    <col min="3" max="3" width="15.42578125" customWidth="1"/>
    <col min="4" max="4" width="23.140625" customWidth="1"/>
    <col min="5" max="11" width="20.7109375" customWidth="1"/>
    <col min="12" max="12" width="19.7109375" customWidth="1"/>
  </cols>
  <sheetData>
    <row r="1" spans="1:12" ht="19.5" thickBot="1" x14ac:dyDescent="0.35">
      <c r="A1" s="4"/>
      <c r="B1" t="s">
        <v>143</v>
      </c>
      <c r="E1" s="83" t="str">
        <f>'Eingaben &amp; Berechnung'!E4</f>
        <v>Szenario 1</v>
      </c>
      <c r="F1" s="83" t="str">
        <f>'Eingaben &amp; Berechnung'!F4</f>
        <v>Szenario 2</v>
      </c>
      <c r="G1" s="83" t="str">
        <f>'Eingaben &amp; Berechnung'!G4</f>
        <v>Szenario 3</v>
      </c>
      <c r="H1" s="83" t="str">
        <f>'Eingaben &amp; Berechnung'!H4</f>
        <v>Szenario 4</v>
      </c>
      <c r="I1" s="83" t="str">
        <f>'Eingaben &amp; Berechnung'!I4</f>
        <v>Szenario 5</v>
      </c>
      <c r="J1" s="83" t="str">
        <f>'Eingaben &amp; Berechnung'!F4</f>
        <v>Szenario 2</v>
      </c>
      <c r="K1" s="83" t="str">
        <f>'Eingaben &amp; Berechnung'!K4</f>
        <v>Szenario 7</v>
      </c>
    </row>
    <row r="2" spans="1:12" ht="15.75" x14ac:dyDescent="0.25">
      <c r="B2" t="s">
        <v>144</v>
      </c>
      <c r="E2" s="41" t="str">
        <f>'Eingaben &amp; Berechnung'!E5</f>
        <v>Klein</v>
      </c>
      <c r="F2" s="41" t="str">
        <f>'Eingaben &amp; Berechnung'!F5</f>
        <v>Groß (realisiert)</v>
      </c>
      <c r="G2" s="41" t="str">
        <f>'Eingaben &amp; Berechnung'!G5</f>
        <v>Groß (realisiert)</v>
      </c>
      <c r="H2" s="41" t="str">
        <f>'Eingaben &amp; Berechnung'!H5</f>
        <v>Groß (realisiert)</v>
      </c>
      <c r="I2" s="41" t="str">
        <f>'Eingaben &amp; Berechnung'!I5</f>
        <v>Groß (realisiert)</v>
      </c>
      <c r="J2" s="41" t="str">
        <f>'Eingaben &amp; Berechnung'!F5</f>
        <v>Groß (realisiert)</v>
      </c>
      <c r="K2" s="41" t="str">
        <f>'Eingaben &amp; Berechnung'!K5</f>
        <v>Groß (realisiert)</v>
      </c>
    </row>
    <row r="3" spans="1:12" ht="16.5" thickBot="1" x14ac:dyDescent="0.3">
      <c r="B3" t="s">
        <v>145</v>
      </c>
      <c r="C3" s="82"/>
      <c r="E3" s="42" t="str">
        <f>'Eingaben &amp; Berechnung'!E6</f>
        <v>Einzählermodell</v>
      </c>
      <c r="F3" s="42" t="str">
        <f>'Eingaben &amp; Berechnung'!F6</f>
        <v>Einzählermodell</v>
      </c>
      <c r="G3" s="42" t="str">
        <f>'Eingaben &amp; Berechnung'!G6</f>
        <v>Mieterstrom</v>
      </c>
      <c r="H3" s="42" t="str">
        <f>'Eingaben &amp; Berechnung'!H6</f>
        <v>GGV</v>
      </c>
      <c r="I3" s="42" t="str">
        <f>'Eingaben &amp; Berechnung'!I6</f>
        <v>Allgemeinstrom</v>
      </c>
      <c r="J3" s="42" t="str">
        <f>'Eingaben &amp; Berechnung'!F6</f>
        <v>Einzählermodell</v>
      </c>
      <c r="K3" s="145" t="str">
        <f>'Eingaben &amp; Berechnung'!K6</f>
        <v>Volleinspeisung</v>
      </c>
    </row>
    <row r="4" spans="1:12" ht="18.75" x14ac:dyDescent="0.3">
      <c r="A4" s="4"/>
      <c r="E4" s="83" t="str">
        <f>'Eingaben &amp; Berechnung'!E9</f>
        <v>Einzählermodell</v>
      </c>
      <c r="F4" s="83" t="str">
        <f>'Eingaben &amp; Berechnung'!F9</f>
        <v>Einzählermodell</v>
      </c>
      <c r="G4" s="83" t="str">
        <f>'Eingaben &amp; Berechnung'!G9</f>
        <v>Mieterstrom</v>
      </c>
      <c r="H4" s="83" t="str">
        <f>'Eingaben &amp; Berechnung'!H9</f>
        <v>GGV</v>
      </c>
      <c r="I4" s="83" t="str">
        <f>'Eingaben &amp; Berechnung'!I9</f>
        <v>Allgemeinstrom</v>
      </c>
      <c r="J4" s="83" t="str">
        <f>'Eingaben &amp; Berechnung'!F9</f>
        <v>Einzählermodell</v>
      </c>
      <c r="K4" s="83" t="str">
        <f>'Eingaben &amp; Berechnung'!K9</f>
        <v>Volleinspeisung</v>
      </c>
    </row>
    <row r="5" spans="1:12" ht="18.75" x14ac:dyDescent="0.3">
      <c r="A5" s="4"/>
    </row>
    <row r="6" spans="1:12" ht="18.75" x14ac:dyDescent="0.3">
      <c r="A6" s="144" t="str">
        <f>'Eingaben &amp; Berechnung'!A11</f>
        <v>PV-Anlage</v>
      </c>
      <c r="B6" s="90"/>
      <c r="C6" s="90"/>
      <c r="D6" s="171"/>
      <c r="E6" s="171"/>
      <c r="F6" s="171"/>
      <c r="G6" s="171"/>
      <c r="H6" s="171"/>
      <c r="I6" s="171"/>
      <c r="J6" s="171"/>
      <c r="K6" s="171"/>
      <c r="L6" s="171"/>
    </row>
    <row r="7" spans="1:12" x14ac:dyDescent="0.25">
      <c r="B7" s="169" t="str">
        <f>'Eingaben &amp; Berechnung'!B13</f>
        <v>PV-Nennleistung</v>
      </c>
      <c r="C7" s="170"/>
      <c r="D7" s="171"/>
      <c r="E7" s="155">
        <f>'Eingaben &amp; Berechnung'!E13</f>
        <v>60</v>
      </c>
      <c r="F7" s="155">
        <f>'Eingaben &amp; Berechnung'!F13</f>
        <v>95.5</v>
      </c>
      <c r="G7" s="155">
        <f>'Eingaben &amp; Berechnung'!G13</f>
        <v>95.5</v>
      </c>
      <c r="H7" s="155">
        <f>'Eingaben &amp; Berechnung'!H13</f>
        <v>95.5</v>
      </c>
      <c r="I7" s="155">
        <f>'Eingaben &amp; Berechnung'!I13</f>
        <v>95.5</v>
      </c>
      <c r="J7" s="155">
        <f>'Eingaben &amp; Berechnung'!F13</f>
        <v>95.5</v>
      </c>
      <c r="K7" s="155">
        <f>'Eingaben &amp; Berechnung'!K13</f>
        <v>95.5</v>
      </c>
      <c r="L7" s="154" t="str">
        <f>'Eingaben &amp; Berechnung'!L13</f>
        <v>kWp</v>
      </c>
    </row>
    <row r="8" spans="1:12" x14ac:dyDescent="0.25">
      <c r="B8" s="169" t="str">
        <f>'Eingaben &amp; Berechnung'!B14</f>
        <v>Speicherkapazität</v>
      </c>
      <c r="C8" s="172"/>
      <c r="D8" s="171"/>
      <c r="E8" s="156">
        <f>'Eingaben &amp; Berechnung'!E14</f>
        <v>0</v>
      </c>
      <c r="F8" s="156">
        <f>'Eingaben &amp; Berechnung'!F14</f>
        <v>0</v>
      </c>
      <c r="G8" s="156">
        <f>'Eingaben &amp; Berechnung'!G14</f>
        <v>0</v>
      </c>
      <c r="H8" s="156">
        <f>'Eingaben &amp; Berechnung'!H14</f>
        <v>0</v>
      </c>
      <c r="I8" s="156">
        <f>'Eingaben &amp; Berechnung'!I14</f>
        <v>0</v>
      </c>
      <c r="J8" s="156">
        <f>'Eingaben &amp; Berechnung'!F14</f>
        <v>0</v>
      </c>
      <c r="K8" s="156">
        <f>'Eingaben &amp; Berechnung'!K14</f>
        <v>0</v>
      </c>
      <c r="L8" s="154" t="str">
        <f>'Eingaben &amp; Berechnung'!L14</f>
        <v>kWh</v>
      </c>
    </row>
    <row r="9" spans="1:12" x14ac:dyDescent="0.25">
      <c r="A9" s="2"/>
      <c r="B9" s="169" t="str">
        <f>'Eingaben &amp; Berechnung'!B24</f>
        <v>Anschaffungskosten</v>
      </c>
      <c r="C9" s="173"/>
      <c r="D9" s="171"/>
      <c r="E9" s="157">
        <f>'Eingaben &amp; Berechnung'!E24</f>
        <v>75000</v>
      </c>
      <c r="F9" s="157">
        <f>'Eingaben &amp; Berechnung'!F24</f>
        <v>114050</v>
      </c>
      <c r="G9" s="157">
        <f>'Eingaben &amp; Berechnung'!G24</f>
        <v>124050</v>
      </c>
      <c r="H9" s="157">
        <f>'Eingaben &amp; Berechnung'!H24</f>
        <v>124050</v>
      </c>
      <c r="I9" s="157">
        <f>'Eingaben &amp; Berechnung'!I24</f>
        <v>109050</v>
      </c>
      <c r="J9" s="157">
        <f>'Eingaben &amp; Berechnung'!F24</f>
        <v>114050</v>
      </c>
      <c r="K9" s="157">
        <f>'Eingaben &amp; Berechnung'!K24</f>
        <v>109050</v>
      </c>
      <c r="L9" s="154"/>
    </row>
    <row r="10" spans="1:12" x14ac:dyDescent="0.25">
      <c r="E10" s="158"/>
      <c r="F10" s="158"/>
      <c r="G10" s="158"/>
      <c r="H10" s="158"/>
      <c r="I10" s="158"/>
      <c r="J10" s="158"/>
      <c r="K10" s="158"/>
      <c r="L10" s="158"/>
    </row>
    <row r="11" spans="1:12" s="4" customFormat="1" ht="18.75" x14ac:dyDescent="0.3">
      <c r="A11" s="174" t="str">
        <f>'Eingaben &amp; Berechnung'!A28</f>
        <v>Strommengen</v>
      </c>
      <c r="B11" s="175"/>
      <c r="C11" s="175"/>
      <c r="D11" s="176"/>
      <c r="E11" s="176"/>
      <c r="F11" s="176"/>
      <c r="G11" s="176"/>
      <c r="H11" s="176"/>
      <c r="I11" s="176"/>
      <c r="J11" s="176"/>
      <c r="K11" s="176"/>
      <c r="L11" s="176"/>
    </row>
    <row r="12" spans="1:12" x14ac:dyDescent="0.25">
      <c r="B12" s="116" t="str">
        <f>'Eingaben &amp; Berechnung'!B31</f>
        <v>Erzeugter PV Strom (Durchschnitt während der Nutzungsdauer)</v>
      </c>
      <c r="C12" s="177"/>
      <c r="D12" s="118"/>
      <c r="E12" s="159">
        <f>'Eingaben &amp; Berechnung'!E31</f>
        <v>52819.199999999997</v>
      </c>
      <c r="F12" s="159">
        <f>'Eingaben &amp; Berechnung'!F31</f>
        <v>84070.56</v>
      </c>
      <c r="G12" s="159">
        <f>'Eingaben &amp; Berechnung'!G31</f>
        <v>84070.56</v>
      </c>
      <c r="H12" s="159">
        <f>'Eingaben &amp; Berechnung'!H31</f>
        <v>84070.56</v>
      </c>
      <c r="I12" s="159">
        <f>'Eingaben &amp; Berechnung'!I31</f>
        <v>84070.56</v>
      </c>
      <c r="J12" s="159">
        <f>'Eingaben &amp; Berechnung'!F31</f>
        <v>84070.56</v>
      </c>
      <c r="K12" s="159">
        <f>'Eingaben &amp; Berechnung'!K31</f>
        <v>84070.56</v>
      </c>
      <c r="L12" s="111" t="str">
        <f>'Eingaben &amp; Berechnung'!L31</f>
        <v>kWh/Jahr</v>
      </c>
    </row>
    <row r="13" spans="1:12" x14ac:dyDescent="0.25">
      <c r="B13" s="178" t="str">
        <f>'Eingaben &amp; Berechnung'!B36</f>
        <v>Gesamtstromverbrauch</v>
      </c>
      <c r="C13" s="117"/>
      <c r="D13" s="118"/>
      <c r="E13" s="159">
        <f>'Eingaben &amp; Berechnung'!E36</f>
        <v>154300</v>
      </c>
      <c r="F13" s="159">
        <f>'Eingaben &amp; Berechnung'!F36</f>
        <v>154300</v>
      </c>
      <c r="G13" s="159">
        <f>'Eingaben &amp; Berechnung'!G36</f>
        <v>154300</v>
      </c>
      <c r="H13" s="159">
        <f>'Eingaben &amp; Berechnung'!H36</f>
        <v>154300</v>
      </c>
      <c r="I13" s="159">
        <f>'Eingaben &amp; Berechnung'!I36</f>
        <v>154300</v>
      </c>
      <c r="J13" s="159">
        <f>'Eingaben &amp; Berechnung'!F36</f>
        <v>154300</v>
      </c>
      <c r="K13" s="159">
        <f>'Eingaben &amp; Berechnung'!K36</f>
        <v>154300</v>
      </c>
      <c r="L13" s="111" t="str">
        <f>'Eingaben &amp; Berechnung'!L36</f>
        <v>kWh/Jahr</v>
      </c>
    </row>
    <row r="14" spans="1:12" x14ac:dyDescent="0.25">
      <c r="B14" s="116" t="str">
        <f>'Eingaben &amp; Berechnung'!B42</f>
        <v>Direktverbrauch</v>
      </c>
      <c r="C14" s="117"/>
      <c r="D14" s="118"/>
      <c r="E14" s="113">
        <f>'Eingaben &amp; Berechnung'!E42</f>
        <v>42255.360000000001</v>
      </c>
      <c r="F14" s="113">
        <f>'Eingaben &amp; Berechnung'!F42</f>
        <v>44305.185120000002</v>
      </c>
      <c r="G14" s="113">
        <f>'Eingaben &amp; Berechnung'!G42</f>
        <v>44305.185120000002</v>
      </c>
      <c r="H14" s="113">
        <f>'Eingaben &amp; Berechnung'!H42</f>
        <v>44305.185120000002</v>
      </c>
      <c r="I14" s="113">
        <f>'Eingaben &amp; Berechnung'!I42</f>
        <v>22699.051200000002</v>
      </c>
      <c r="J14" s="113">
        <f>'Eingaben &amp; Berechnung'!F42</f>
        <v>44305.185120000002</v>
      </c>
      <c r="K14" s="113">
        <f>'Eingaben &amp; Berechnung'!K42</f>
        <v>0</v>
      </c>
      <c r="L14" s="111" t="str">
        <f>'Eingaben &amp; Berechnung'!L42</f>
        <v>kWh/Jahr</v>
      </c>
    </row>
    <row r="15" spans="1:12" x14ac:dyDescent="0.25">
      <c r="B15" s="116" t="str">
        <f>'Eingaben &amp; Berechnung'!B44</f>
        <v>Direktverbrauchsquote (Anteil des selbst verbrauchten Stroms am PV-Strom)</v>
      </c>
      <c r="C15" s="117"/>
      <c r="D15" s="118"/>
      <c r="E15" s="112">
        <f>'Eingaben &amp; Berechnung'!E44</f>
        <v>0.8</v>
      </c>
      <c r="F15" s="112">
        <f>'Eingaben &amp; Berechnung'!F44</f>
        <v>0.52700000000000002</v>
      </c>
      <c r="G15" s="112">
        <f>'Eingaben &amp; Berechnung'!G44</f>
        <v>0.52700000000000002</v>
      </c>
      <c r="H15" s="112">
        <f>'Eingaben &amp; Berechnung'!H44</f>
        <v>0.52700000000000002</v>
      </c>
      <c r="I15" s="112">
        <f>'Eingaben &amp; Berechnung'!I44</f>
        <v>0.27</v>
      </c>
      <c r="J15" s="112">
        <f>'Eingaben &amp; Berechnung'!F44</f>
        <v>0.52700000000000002</v>
      </c>
      <c r="K15" s="112">
        <f>'Eingaben &amp; Berechnung'!K44</f>
        <v>0</v>
      </c>
      <c r="L15" s="111"/>
    </row>
    <row r="16" spans="1:12" s="64" customFormat="1" x14ac:dyDescent="0.25">
      <c r="A16" s="153"/>
      <c r="B16" s="119" t="str">
        <f>'Eingaben &amp; Berechnung'!B45</f>
        <v>Autarkiegrad</v>
      </c>
      <c r="C16" s="120"/>
      <c r="D16" s="114"/>
      <c r="E16" s="112">
        <f>'Eingaben &amp; Berechnung'!E45</f>
        <v>0.27385197666882699</v>
      </c>
      <c r="F16" s="112">
        <f>'Eingaben &amp; Berechnung'!F45</f>
        <v>0.28713665016202206</v>
      </c>
      <c r="G16" s="112">
        <f>'Eingaben &amp; Berechnung'!G45</f>
        <v>0.28713665016202206</v>
      </c>
      <c r="H16" s="112">
        <f>'Eingaben &amp; Berechnung'!H45</f>
        <v>0.28713665016202206</v>
      </c>
      <c r="I16" s="112">
        <f>'Eingaben &amp; Berechnung'!I45</f>
        <v>0.1471098587167855</v>
      </c>
      <c r="J16" s="112">
        <f>'Eingaben &amp; Berechnung'!F45</f>
        <v>0.28713665016202206</v>
      </c>
      <c r="K16" s="112">
        <f>'Eingaben &amp; Berechnung'!K45</f>
        <v>0</v>
      </c>
      <c r="L16" s="112"/>
    </row>
    <row r="17" spans="1:12" x14ac:dyDescent="0.25">
      <c r="E17" s="158"/>
      <c r="F17" s="158"/>
      <c r="G17" s="158"/>
      <c r="H17" s="158"/>
      <c r="I17" s="158"/>
      <c r="J17" s="158"/>
      <c r="K17" s="158"/>
      <c r="L17" s="158"/>
    </row>
    <row r="18" spans="1:12" s="4" customFormat="1" ht="18.75" x14ac:dyDescent="0.3">
      <c r="A18" s="72" t="str">
        <f>'Eingaben &amp; Berechnung'!A50</f>
        <v>Wirtschaftlichkeit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</row>
    <row r="19" spans="1:12" s="4" customFormat="1" ht="18.75" x14ac:dyDescent="0.3">
      <c r="B19" s="180" t="str">
        <f>'Eingaben &amp; Berechnung'!B87</f>
        <v>Konservative Annahmen</v>
      </c>
      <c r="C19" s="181" t="str">
        <f>'Eingaben &amp; Berechnung'!C87</f>
        <v>Keine Steigerung des Strompreises</v>
      </c>
      <c r="D19" s="182"/>
      <c r="E19" s="146">
        <f>'Eingaben &amp; Berechnung'!E54</f>
        <v>0.3</v>
      </c>
      <c r="F19" s="146">
        <f>'Eingaben &amp; Berechnung'!F54</f>
        <v>0.3</v>
      </c>
      <c r="G19" s="146">
        <f>'Eingaben &amp; Berechnung'!G54</f>
        <v>0.24</v>
      </c>
      <c r="H19" s="146">
        <f>'Eingaben &amp; Berechnung'!H54</f>
        <v>0.24</v>
      </c>
      <c r="I19" s="146">
        <f>'Eingaben &amp; Berechnung'!I54</f>
        <v>0.3</v>
      </c>
      <c r="J19" s="146">
        <f>'Eingaben &amp; Berechnung'!F54</f>
        <v>0.3</v>
      </c>
      <c r="K19" s="146">
        <f>'Eingaben &amp; Berechnung'!K54</f>
        <v>0.3</v>
      </c>
      <c r="L19" s="147" t="s">
        <v>2</v>
      </c>
    </row>
    <row r="20" spans="1:12" s="4" customFormat="1" ht="18.75" x14ac:dyDescent="0.3">
      <c r="B20" s="183"/>
      <c r="C20" s="181" t="str">
        <f>'Eingaben &amp; Berechnung'!C88</f>
        <v>Nutzungsdauer endet nach 20 Jahren</v>
      </c>
      <c r="D20" s="184"/>
      <c r="E20" s="108"/>
      <c r="F20" s="108"/>
      <c r="G20" s="108"/>
      <c r="H20" s="108"/>
      <c r="I20" s="108"/>
      <c r="J20" s="108"/>
      <c r="K20" s="108"/>
      <c r="L20" s="109"/>
    </row>
    <row r="21" spans="1:12" x14ac:dyDescent="0.25">
      <c r="C21" s="143"/>
      <c r="D21" s="2"/>
      <c r="E21" s="161"/>
      <c r="F21" s="161"/>
      <c r="G21" s="161"/>
      <c r="H21" s="161"/>
      <c r="I21" s="161"/>
      <c r="J21" s="161"/>
      <c r="K21" s="161"/>
      <c r="L21" s="162"/>
    </row>
    <row r="22" spans="1:12" ht="18.75" x14ac:dyDescent="0.3">
      <c r="B22" s="188" t="str">
        <f>'Eingaben &amp; Berechnung'!B26</f>
        <v>Anteil der Anschaffungskosten für durchschnittlich große Wohnung</v>
      </c>
      <c r="C22" s="189"/>
      <c r="D22" s="135"/>
      <c r="E22" s="164">
        <f>'Eingaben &amp; Berechnung'!E26</f>
        <v>1271.1864406779662</v>
      </c>
      <c r="F22" s="164">
        <f>'Eingaben &amp; Berechnung'!F26</f>
        <v>1933.050847457627</v>
      </c>
      <c r="G22" s="164">
        <f>'Eingaben &amp; Berechnung'!G26</f>
        <v>2102.5423728813557</v>
      </c>
      <c r="H22" s="164">
        <f>'Eingaben &amp; Berechnung'!H26</f>
        <v>2102.5423728813557</v>
      </c>
      <c r="I22" s="164">
        <f>'Eingaben &amp; Berechnung'!I26</f>
        <v>1848.3050847457628</v>
      </c>
      <c r="J22" s="164">
        <f>'Eingaben &amp; Berechnung'!F26</f>
        <v>1933.050847457627</v>
      </c>
      <c r="K22" s="164">
        <f>'Eingaben &amp; Berechnung'!K26</f>
        <v>1848.3050847457628</v>
      </c>
      <c r="L22" s="160"/>
    </row>
    <row r="23" spans="1:12" x14ac:dyDescent="0.25">
      <c r="C23" s="143"/>
      <c r="D23" s="2"/>
      <c r="E23" s="161"/>
      <c r="F23" s="161"/>
      <c r="G23" s="161"/>
      <c r="H23" s="161"/>
      <c r="I23" s="161"/>
      <c r="J23" s="161"/>
      <c r="K23" s="161"/>
      <c r="L23" s="162"/>
    </row>
    <row r="24" spans="1:12" x14ac:dyDescent="0.25">
      <c r="B24" s="179" t="str">
        <f>'Eingaben &amp; Berechnung'!B82</f>
        <v>Nutzen für Eigennutzer (Summe aller Wohnungen)</v>
      </c>
      <c r="C24" s="122">
        <f>'Eingaben &amp; Berechnung'!C82</f>
        <v>0</v>
      </c>
      <c r="D24" s="123"/>
      <c r="E24" s="163">
        <f>'Eingaben &amp; Berechnung'!E82</f>
        <v>21985.17546912</v>
      </c>
      <c r="F24" s="163">
        <f>'Eingaben &amp; Berechnung'!F82</f>
        <v>24141.483613455679</v>
      </c>
      <c r="G24" s="163">
        <f>'Eingaben &amp; Berechnung'!G82</f>
        <v>4559.1132414556805</v>
      </c>
      <c r="H24" s="163">
        <f>'Eingaben &amp; Berechnung'!H82</f>
        <v>3198.4836134556799</v>
      </c>
      <c r="I24" s="163">
        <f>'Eingaben &amp; Berechnung'!I82</f>
        <v>9874.9938939168005</v>
      </c>
      <c r="J24" s="163">
        <f>'Eingaben &amp; Berechnung'!F82</f>
        <v>24141.483613455679</v>
      </c>
      <c r="K24" s="163">
        <f>'Eingaben &amp; Berechnung'!K82</f>
        <v>8127.9841173599998</v>
      </c>
      <c r="L24" s="97" t="str">
        <f>'Eingaben &amp; Berechnung'!L82</f>
        <v>/Jahr</v>
      </c>
    </row>
    <row r="25" spans="1:12" s="4" customFormat="1" ht="18.75" x14ac:dyDescent="0.3">
      <c r="B25" s="133" t="str">
        <f>'Eingaben &amp; Berechnung'!B83</f>
        <v>Nutzen in 20 Jahren für durchschnittlich große Wohnung</v>
      </c>
      <c r="C25" s="134"/>
      <c r="D25" s="135"/>
      <c r="E25" s="164">
        <f>'Eingaben &amp; Berechnung'!E83</f>
        <v>7452.6018539389834</v>
      </c>
      <c r="F25" s="164">
        <f>'Eingaben &amp; Berechnung'!F83</f>
        <v>8183.5537672731116</v>
      </c>
      <c r="G25" s="164">
        <f>'Eingaben &amp; Berechnung'!G83</f>
        <v>1545.4621157476884</v>
      </c>
      <c r="H25" s="164">
        <f>'Eingaben &amp; Berechnung'!H83</f>
        <v>1084.2317333748067</v>
      </c>
      <c r="I25" s="164">
        <f>'Eingaben &amp; Berechnung'!I83</f>
        <v>3347.4555572599324</v>
      </c>
      <c r="J25" s="164">
        <f>'Eingaben &amp; Berechnung'!F83</f>
        <v>8183.5537672731116</v>
      </c>
      <c r="K25" s="164">
        <f>'Eingaben &amp; Berechnung'!K83</f>
        <v>2755.248853342373</v>
      </c>
      <c r="L25" s="136"/>
    </row>
    <row r="26" spans="1:12" x14ac:dyDescent="0.25">
      <c r="B26" s="139" t="str">
        <f>'Eingaben &amp; Berechnung'!B84</f>
        <v>Amortisationszeit</v>
      </c>
      <c r="C26" s="122"/>
      <c r="D26" s="123"/>
      <c r="E26" s="165">
        <f>'Eingaben &amp; Berechnung'!E84</f>
        <v>3.4113896477807835</v>
      </c>
      <c r="F26" s="165">
        <f>'Eingaben &amp; Berechnung'!F84</f>
        <v>4.7242332669410692</v>
      </c>
      <c r="G26" s="165">
        <f>'Eingaben &amp; Berechnung'!G84</f>
        <v>27.209238601933045</v>
      </c>
      <c r="H26" s="165">
        <f>'Eingaben &amp; Berechnung'!H84</f>
        <v>38.784003606626236</v>
      </c>
      <c r="I26" s="165">
        <f>'Eingaben &amp; Berechnung'!I84</f>
        <v>11.043044803012693</v>
      </c>
      <c r="J26" s="165">
        <f>'Eingaben &amp; Berechnung'!F84</f>
        <v>4.7242332669410692</v>
      </c>
      <c r="K26" s="165">
        <f>'Eingaben &amp; Berechnung'!K84</f>
        <v>13.416610862598469</v>
      </c>
      <c r="L26" s="96" t="str">
        <f>'Eingaben &amp; Berechnung'!L84</f>
        <v>Jahre</v>
      </c>
    </row>
    <row r="27" spans="1:12" x14ac:dyDescent="0.25">
      <c r="B27" s="139" t="str">
        <f>'Eingaben &amp; Berechnung'!B85</f>
        <v>Rendite (steuerfrei) bei 20 Jahren Nutzungsdauer</v>
      </c>
      <c r="C27" s="122"/>
      <c r="D27" s="123"/>
      <c r="E27" s="166">
        <f>'Eingaben &amp; Berechnung'!E85</f>
        <v>0.29134268884116116</v>
      </c>
      <c r="F27" s="166">
        <f>'Eingaben &amp; Berechnung'!F85</f>
        <v>0.20672389325437454</v>
      </c>
      <c r="G27" s="166">
        <f>'Eingaben &amp; Berechnung'!G85</f>
        <v>-2.7682175659872566E-2</v>
      </c>
      <c r="H27" s="166">
        <f>'Eingaben &amp; Berechnung'!H85</f>
        <v>-5.6188423923875158E-2</v>
      </c>
      <c r="I27" s="166">
        <f>'Eingaben &amp; Berechnung'!I85</f>
        <v>6.4713990968593982E-2</v>
      </c>
      <c r="J27" s="166">
        <f>'Eingaben &amp; Berechnung'!F85</f>
        <v>0.20672389325437454</v>
      </c>
      <c r="K27" s="166">
        <f>'Eingaben &amp; Berechnung'!K85</f>
        <v>4.1451754979515566E-2</v>
      </c>
      <c r="L27" s="96" t="str">
        <f>'Eingaben &amp; Berechnung'!L85</f>
        <v>p.a.</v>
      </c>
    </row>
    <row r="28" spans="1:12" s="5" customFormat="1" ht="15.75" x14ac:dyDescent="0.25">
      <c r="B28" s="14"/>
      <c r="C28" s="14"/>
      <c r="D28" s="14"/>
      <c r="E28" s="167"/>
      <c r="F28" s="167"/>
      <c r="G28" s="167"/>
      <c r="H28" s="167"/>
      <c r="I28" s="167"/>
      <c r="J28" s="167"/>
      <c r="K28" s="167"/>
      <c r="L28" s="168"/>
    </row>
    <row r="29" spans="1:12" s="5" customFormat="1" ht="15.75" x14ac:dyDescent="0.25">
      <c r="B29" s="179" t="str">
        <f>'Eingaben &amp; Berechnung'!B72</f>
        <v>Nutzen für Vermieter (Summe aller Wohnungen)</v>
      </c>
      <c r="C29" s="122">
        <f>'Eingaben &amp; Berechnung'!C72</f>
        <v>0</v>
      </c>
      <c r="D29" s="123"/>
      <c r="E29" s="163">
        <f>'Eingaben &amp; Berechnung'!E72</f>
        <v>11365.17546912</v>
      </c>
      <c r="F29" s="163">
        <f>'Eingaben &amp; Berechnung'!F72</f>
        <v>13521.483613455679</v>
      </c>
      <c r="G29" s="163">
        <f>'Eingaben &amp; Berechnung'!G72</f>
        <v>3670.8021342556804</v>
      </c>
      <c r="H29" s="163">
        <f>'Eingaben &amp; Berechnung'!H72</f>
        <v>2310.1725062556798</v>
      </c>
      <c r="I29" s="163">
        <f>'Eingaben &amp; Berechnung'!I72</f>
        <v>9874.9938939168005</v>
      </c>
      <c r="J29" s="163">
        <f>'Eingaben &amp; Berechnung'!F72</f>
        <v>13521.483613455679</v>
      </c>
      <c r="K29" s="163">
        <f>'Eingaben &amp; Berechnung'!K72</f>
        <v>8127.9841173599998</v>
      </c>
      <c r="L29" s="97" t="str">
        <f>'Eingaben &amp; Berechnung'!L72</f>
        <v>/Jahr</v>
      </c>
    </row>
    <row r="30" spans="1:12" s="4" customFormat="1" ht="18.75" x14ac:dyDescent="0.3">
      <c r="B30" s="133" t="str">
        <f>'Eingaben &amp; Berechnung'!B73</f>
        <v>Nutzen in 20 Jahren für durchschnittlich große Wohnung</v>
      </c>
      <c r="C30" s="134"/>
      <c r="D30" s="135"/>
      <c r="E30" s="164">
        <f>'Eingaben &amp; Berechnung'!E73</f>
        <v>3852.6018539389834</v>
      </c>
      <c r="F30" s="164">
        <f>'Eingaben &amp; Berechnung'!F73</f>
        <v>4583.5537672731116</v>
      </c>
      <c r="G30" s="164">
        <f>'Eingaben &amp; Berechnung'!G73</f>
        <v>1244.3397065273493</v>
      </c>
      <c r="H30" s="164">
        <f>'Eingaben &amp; Berechnung'!H73</f>
        <v>783.10932415446769</v>
      </c>
      <c r="I30" s="164">
        <f>'Eingaben &amp; Berechnung'!I73</f>
        <v>3347.4555572599324</v>
      </c>
      <c r="J30" s="164">
        <f>'Eingaben &amp; Berechnung'!F73</f>
        <v>4583.5537672731116</v>
      </c>
      <c r="K30" s="164">
        <f>'Eingaben &amp; Berechnung'!K73</f>
        <v>2755.248853342373</v>
      </c>
      <c r="L30" s="137"/>
    </row>
    <row r="31" spans="1:12" x14ac:dyDescent="0.25">
      <c r="B31" s="139" t="str">
        <f>'Eingaben &amp; Berechnung'!B74</f>
        <v>Amortisationszeit</v>
      </c>
      <c r="C31" s="122"/>
      <c r="D31" s="123"/>
      <c r="E31" s="165">
        <f>'Eingaben &amp; Berechnung'!E74</f>
        <v>6.5991062085913583</v>
      </c>
      <c r="F31" s="165">
        <f>'Eingaben &amp; Berechnung'!F74</f>
        <v>8.4347253053285538</v>
      </c>
      <c r="G31" s="165">
        <f>'Eingaben &amp; Berechnung'!G74</f>
        <v>33.793703790889104</v>
      </c>
      <c r="H31" s="165">
        <f>'Eingaben &amp; Berechnung'!H74</f>
        <v>53.697288693414436</v>
      </c>
      <c r="I31" s="165">
        <f>'Eingaben &amp; Berechnung'!I74</f>
        <v>11.043044803012693</v>
      </c>
      <c r="J31" s="165">
        <f>'Eingaben &amp; Berechnung'!F74</f>
        <v>8.4347253053285538</v>
      </c>
      <c r="K31" s="165">
        <f>'Eingaben &amp; Berechnung'!K74</f>
        <v>13.416610862598469</v>
      </c>
      <c r="L31" s="96" t="str">
        <f>'Eingaben &amp; Berechnung'!L74</f>
        <v>Jahre</v>
      </c>
    </row>
    <row r="32" spans="1:12" x14ac:dyDescent="0.25">
      <c r="B32" s="139" t="str">
        <f>'Eingaben &amp; Berechnung'!B75</f>
        <v>Rendite (Steuerfrei) bei 20 Jahren Nutzungsdauer</v>
      </c>
      <c r="C32" s="122"/>
      <c r="D32" s="123"/>
      <c r="E32" s="166">
        <f>'Eingaben &amp; Berechnung'!E75</f>
        <v>0.14062266217866154</v>
      </c>
      <c r="F32" s="166">
        <f>'Eingaben &amp; Berechnung'!F75</f>
        <v>0.10136018088874239</v>
      </c>
      <c r="G32" s="166">
        <f>'Eingaben &amp; Berechnung'!G75</f>
        <v>-4.5479803479965705E-2</v>
      </c>
      <c r="H32" s="166">
        <f>'Eingaben &amp; Berechnung'!H75</f>
        <v>-7.9920585651675355E-2</v>
      </c>
      <c r="I32" s="166">
        <f>'Eingaben &amp; Berechnung'!I75</f>
        <v>6.4713990968593982E-2</v>
      </c>
      <c r="J32" s="166">
        <f>'Eingaben &amp; Berechnung'!F75</f>
        <v>0.10136018088874239</v>
      </c>
      <c r="K32" s="166">
        <f>'Eingaben &amp; Berechnung'!K75</f>
        <v>4.1451754979515566E-2</v>
      </c>
      <c r="L32" s="96" t="str">
        <f>'Eingaben &amp; Berechnung'!L75</f>
        <v>p.a.</v>
      </c>
    </row>
    <row r="33" spans="1:12" s="5" customFormat="1" ht="15.75" x14ac:dyDescent="0.25">
      <c r="B33" s="93"/>
      <c r="C33" s="14"/>
      <c r="D33" s="14"/>
      <c r="E33" s="167"/>
      <c r="F33" s="167"/>
      <c r="G33" s="167"/>
      <c r="H33" s="167"/>
      <c r="I33" s="167"/>
      <c r="J33" s="167"/>
      <c r="K33" s="167"/>
      <c r="L33" s="168"/>
    </row>
    <row r="34" spans="1:12" s="4" customFormat="1" ht="18.75" x14ac:dyDescent="0.3">
      <c r="A34" s="185" t="str">
        <f>'Eingaben &amp; Berechnung'!A97</f>
        <v>Beitrag zum Klimaschutz</v>
      </c>
      <c r="B34" s="186"/>
      <c r="C34" s="186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s="70" customFormat="1" x14ac:dyDescent="0.25">
      <c r="B35" s="124" t="str">
        <f>'Eingaben &amp; Berechnung'!B98</f>
        <v>Direktverbrauch</v>
      </c>
      <c r="C35" s="125"/>
      <c r="D35" s="126"/>
      <c r="E35" s="100">
        <f>'Eingaben &amp; Berechnung'!E98</f>
        <v>42255.360000000001</v>
      </c>
      <c r="F35" s="100">
        <f>'Eingaben &amp; Berechnung'!F98</f>
        <v>44305.185120000002</v>
      </c>
      <c r="G35" s="100">
        <f>'Eingaben &amp; Berechnung'!G98</f>
        <v>44305.185120000002</v>
      </c>
      <c r="H35" s="100">
        <f>'Eingaben &amp; Berechnung'!H98</f>
        <v>44305.185120000002</v>
      </c>
      <c r="I35" s="100">
        <f>'Eingaben &amp; Berechnung'!I98</f>
        <v>22699.051200000002</v>
      </c>
      <c r="J35" s="100">
        <f>'Eingaben &amp; Berechnung'!F98</f>
        <v>44305.185120000002</v>
      </c>
      <c r="K35" s="100">
        <f>'Eingaben &amp; Berechnung'!K98</f>
        <v>0</v>
      </c>
      <c r="L35" s="99" t="str">
        <f>'Eingaben &amp; Berechnung'!L98</f>
        <v>kWh/Jahr</v>
      </c>
    </row>
    <row r="36" spans="1:12" ht="15.75" x14ac:dyDescent="0.25">
      <c r="B36" s="127" t="str">
        <f>'Eingaben &amp; Berechnung'!B100</f>
        <v>Vermiedene CO2 Emissionen</v>
      </c>
      <c r="C36" s="128">
        <f>'Eingaben &amp; Berechnung'!C100</f>
        <v>0.68400000000000005</v>
      </c>
      <c r="D36" s="129" t="str">
        <f>'Eingaben &amp; Berechnung'!D100</f>
        <v>kg CO2/kWh</v>
      </c>
      <c r="E36" s="101">
        <f>'Eingaben &amp; Berechnung'!E100</f>
        <v>28902.666240000002</v>
      </c>
      <c r="F36" s="101">
        <f>'Eingaben &amp; Berechnung'!F100</f>
        <v>30304.746622080005</v>
      </c>
      <c r="G36" s="101">
        <f>'Eingaben &amp; Berechnung'!G100</f>
        <v>30304.746622080005</v>
      </c>
      <c r="H36" s="101">
        <f>'Eingaben &amp; Berechnung'!H100</f>
        <v>30304.746622080005</v>
      </c>
      <c r="I36" s="101">
        <f>'Eingaben &amp; Berechnung'!I100</f>
        <v>15526.151020800002</v>
      </c>
      <c r="J36" s="101">
        <f>'Eingaben &amp; Berechnung'!F100</f>
        <v>30304.746622080005</v>
      </c>
      <c r="K36" s="101">
        <f>'Eingaben &amp; Berechnung'!K100</f>
        <v>0</v>
      </c>
      <c r="L36" s="102" t="str">
        <f>'Eingaben &amp; Berechnung'!L100</f>
        <v>kg CO2/Jahr</v>
      </c>
    </row>
    <row r="37" spans="1:12" s="5" customFormat="1" ht="15.75" x14ac:dyDescent="0.25">
      <c r="B37" s="127" t="str">
        <f>'Eingaben &amp; Berechnung'!B101</f>
        <v>Waldfläche (CO2-äquivalent)</v>
      </c>
      <c r="C37" s="130">
        <f>'Eingaben &amp; Berechnung'!C102</f>
        <v>7140</v>
      </c>
      <c r="D37" s="129" t="str">
        <f>'Eingaben &amp; Berechnung'!D102</f>
        <v>qm/Fußballfeld</v>
      </c>
      <c r="E37" s="104">
        <f>'Eingaben &amp; Berechnung'!E102</f>
        <v>6.7466541176470596</v>
      </c>
      <c r="F37" s="104">
        <f>'Eingaben &amp; Berechnung'!F102</f>
        <v>7.0739371200000019</v>
      </c>
      <c r="G37" s="104">
        <f>'Eingaben &amp; Berechnung'!G102</f>
        <v>7.0739371200000019</v>
      </c>
      <c r="H37" s="104">
        <f>'Eingaben &amp; Berechnung'!H102</f>
        <v>7.0739371200000019</v>
      </c>
      <c r="I37" s="104">
        <f>'Eingaben &amp; Berechnung'!I102</f>
        <v>3.6242182588235297</v>
      </c>
      <c r="J37" s="104">
        <f>'Eingaben &amp; Berechnung'!F102</f>
        <v>7.0739371200000019</v>
      </c>
      <c r="K37" s="104">
        <f>'Eingaben &amp; Berechnung'!K102</f>
        <v>0</v>
      </c>
      <c r="L37" s="102" t="str">
        <f>'Eingaben &amp; Berechnung'!L102</f>
        <v>Fussballfelder</v>
      </c>
    </row>
    <row r="38" spans="1:12" ht="15.75" x14ac:dyDescent="0.25">
      <c r="B38" s="127" t="str">
        <f>'Eingaben &amp; Berechnung'!B103</f>
        <v>Vermiedener Pro-Kopf CO2-Fußabdruck</v>
      </c>
      <c r="C38" s="131">
        <f>'Eingaben &amp; Berechnung'!C103</f>
        <v>10500</v>
      </c>
      <c r="D38" s="129" t="str">
        <f>'Eingaben &amp; Berechnung'!D103</f>
        <v>kg CO2/Person/Jahr</v>
      </c>
      <c r="E38" s="104">
        <f>'Eingaben &amp; Berechnung'!E103</f>
        <v>2.75263488</v>
      </c>
      <c r="F38" s="104">
        <f>'Eingaben &amp; Berechnung'!F103</f>
        <v>2.8861663449600004</v>
      </c>
      <c r="G38" s="104">
        <f>'Eingaben &amp; Berechnung'!G103</f>
        <v>2.8861663449600004</v>
      </c>
      <c r="H38" s="104">
        <f>'Eingaben &amp; Berechnung'!H103</f>
        <v>2.8861663449600004</v>
      </c>
      <c r="I38" s="104">
        <f>'Eingaben &amp; Berechnung'!I103</f>
        <v>1.4786810496000002</v>
      </c>
      <c r="J38" s="104">
        <f>'Eingaben &amp; Berechnung'!F103</f>
        <v>2.8861663449600004</v>
      </c>
      <c r="K38" s="104">
        <f>'Eingaben &amp; Berechnung'!K103</f>
        <v>0</v>
      </c>
      <c r="L38" s="105" t="str">
        <f>'Eingaben &amp; Berechnung'!L103</f>
        <v>Personen</v>
      </c>
    </row>
    <row r="39" spans="1:12" ht="15.75" x14ac:dyDescent="0.25">
      <c r="B39" s="127" t="str">
        <f>'Eingaben &amp; Berechnung'!B104</f>
        <v>Für Fahrt mit E-Auto</v>
      </c>
      <c r="C39" s="131">
        <f>'Eingaben &amp; Berechnung'!C104</f>
        <v>20</v>
      </c>
      <c r="D39" s="129" t="str">
        <f>'Eingaben &amp; Berechnung'!D104</f>
        <v>kWh/100 km</v>
      </c>
      <c r="E39" s="103">
        <f>'Eingaben &amp; Berechnung'!E104</f>
        <v>211276.79999999999</v>
      </c>
      <c r="F39" s="103">
        <f>'Eingaben &amp; Berechnung'!F104</f>
        <v>221525.92560000002</v>
      </c>
      <c r="G39" s="103">
        <f>'Eingaben &amp; Berechnung'!G104</f>
        <v>221525.92560000002</v>
      </c>
      <c r="H39" s="103">
        <f>'Eingaben &amp; Berechnung'!H104</f>
        <v>221525.92560000002</v>
      </c>
      <c r="I39" s="103">
        <f>'Eingaben &amp; Berechnung'!I104</f>
        <v>113495.25600000002</v>
      </c>
      <c r="J39" s="103">
        <f>'Eingaben &amp; Berechnung'!F104</f>
        <v>221525.92560000002</v>
      </c>
      <c r="K39" s="103">
        <f>'Eingaben &amp; Berechnung'!K104</f>
        <v>0</v>
      </c>
      <c r="L39" s="102" t="str">
        <f>'Eingaben &amp; Berechnung'!L104</f>
        <v>km/Jahr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F1D0-D7AF-4121-912F-AE814FB61A7F}">
  <dimension ref="A2:J112"/>
  <sheetViews>
    <sheetView workbookViewId="0">
      <selection activeCell="B6" sqref="B6"/>
    </sheetView>
  </sheetViews>
  <sheetFormatPr defaultRowHeight="15" x14ac:dyDescent="0.25"/>
  <cols>
    <col min="2" max="2" width="11.28515625" customWidth="1"/>
    <col min="3" max="3" width="17.7109375" customWidth="1"/>
    <col min="4" max="6" width="12.85546875" style="83" customWidth="1"/>
    <col min="7" max="8" width="12.85546875" customWidth="1"/>
  </cols>
  <sheetData>
    <row r="2" spans="2:2" ht="21" x14ac:dyDescent="0.35">
      <c r="B2" s="302" t="str">
        <f>"Direktverbrauchsquote für "&amp; C73 &amp; " Wohnungen"</f>
        <v>Direktverbrauchsquote für 59 Wohnungen</v>
      </c>
    </row>
    <row r="3" spans="2:2" x14ac:dyDescent="0.25">
      <c r="B3" t="s">
        <v>235</v>
      </c>
    </row>
    <row r="4" spans="2:2" x14ac:dyDescent="0.25">
      <c r="B4" s="307" t="s">
        <v>253</v>
      </c>
    </row>
    <row r="5" spans="2:2" x14ac:dyDescent="0.25">
      <c r="B5" s="307" t="s">
        <v>254</v>
      </c>
    </row>
    <row r="6" spans="2:2" x14ac:dyDescent="0.25">
      <c r="B6" s="307" t="s">
        <v>230</v>
      </c>
    </row>
    <row r="36" spans="1:8" x14ac:dyDescent="0.25">
      <c r="D36"/>
      <c r="E36"/>
      <c r="F36"/>
    </row>
    <row r="37" spans="1:8" x14ac:dyDescent="0.25">
      <c r="D37"/>
      <c r="E37"/>
      <c r="F37"/>
    </row>
    <row r="38" spans="1:8" x14ac:dyDescent="0.25">
      <c r="D38"/>
      <c r="E38"/>
      <c r="F38"/>
    </row>
    <row r="39" spans="1:8" x14ac:dyDescent="0.25">
      <c r="D39"/>
      <c r="E39"/>
      <c r="F39"/>
    </row>
    <row r="40" spans="1:8" x14ac:dyDescent="0.25">
      <c r="D40"/>
      <c r="E40"/>
      <c r="F40"/>
    </row>
    <row r="41" spans="1:8" x14ac:dyDescent="0.25">
      <c r="D41"/>
      <c r="E41"/>
      <c r="F41"/>
    </row>
    <row r="42" spans="1:8" s="215" customFormat="1" x14ac:dyDescent="0.25">
      <c r="A42" s="215" t="s">
        <v>231</v>
      </c>
    </row>
    <row r="43" spans="1:8" x14ac:dyDescent="0.25">
      <c r="D43"/>
      <c r="E43"/>
      <c r="F43"/>
    </row>
    <row r="44" spans="1:8" x14ac:dyDescent="0.25">
      <c r="D44"/>
      <c r="E44"/>
      <c r="F44"/>
    </row>
    <row r="45" spans="1:8" ht="23.25" x14ac:dyDescent="0.35">
      <c r="A45" s="294" t="s">
        <v>219</v>
      </c>
      <c r="D45"/>
      <c r="E45"/>
      <c r="F45"/>
    </row>
    <row r="46" spans="1:8" x14ac:dyDescent="0.25">
      <c r="B46" t="s">
        <v>220</v>
      </c>
      <c r="C46" t="s">
        <v>221</v>
      </c>
      <c r="D46"/>
      <c r="E46" s="289" t="s">
        <v>222</v>
      </c>
      <c r="F46"/>
    </row>
    <row r="47" spans="1:8" x14ac:dyDescent="0.25">
      <c r="D47"/>
      <c r="E47"/>
      <c r="F47"/>
    </row>
    <row r="48" spans="1:8" x14ac:dyDescent="0.25">
      <c r="B48" s="287"/>
      <c r="D48" s="290"/>
      <c r="E48" s="11"/>
      <c r="F48" s="26" t="s">
        <v>223</v>
      </c>
      <c r="G48" s="11"/>
      <c r="H48" s="291"/>
    </row>
    <row r="49" spans="1:8" s="297" customFormat="1" x14ac:dyDescent="0.25">
      <c r="A49" s="286"/>
      <c r="B49" s="287"/>
      <c r="C49" s="83"/>
      <c r="D49" s="295">
        <v>0.5</v>
      </c>
      <c r="E49" s="295">
        <v>0.75</v>
      </c>
      <c r="F49" s="295">
        <v>1</v>
      </c>
      <c r="G49" s="295">
        <v>1.25</v>
      </c>
      <c r="H49" s="296">
        <v>1.5</v>
      </c>
    </row>
    <row r="50" spans="1:8" ht="15" customHeight="1" x14ac:dyDescent="0.25">
      <c r="A50" s="288"/>
      <c r="B50" s="311" t="s">
        <v>224</v>
      </c>
      <c r="C50" s="298">
        <v>0</v>
      </c>
      <c r="D50" s="292">
        <v>0.41199999999999998</v>
      </c>
      <c r="E50" s="292">
        <v>0.33700000000000002</v>
      </c>
      <c r="F50" s="292">
        <v>0.313</v>
      </c>
      <c r="G50" s="292">
        <v>0.27800000000000002</v>
      </c>
      <c r="H50" s="292">
        <v>0.248</v>
      </c>
    </row>
    <row r="51" spans="1:8" x14ac:dyDescent="0.25">
      <c r="A51" s="288"/>
      <c r="B51" s="312"/>
      <c r="C51" s="298">
        <v>0.25</v>
      </c>
      <c r="D51" s="292">
        <v>0.64500000000000002</v>
      </c>
      <c r="E51" s="292">
        <v>0.52400000000000002</v>
      </c>
      <c r="F51" s="292">
        <v>0.42699999999999999</v>
      </c>
      <c r="G51" s="292">
        <v>0.36799999999999999</v>
      </c>
      <c r="H51" s="292">
        <v>0.32600000000000001</v>
      </c>
    </row>
    <row r="52" spans="1:8" ht="15.75" customHeight="1" x14ac:dyDescent="0.25">
      <c r="A52" s="288"/>
      <c r="B52" s="312"/>
      <c r="C52" s="298">
        <v>0.5</v>
      </c>
      <c r="D52" s="292">
        <v>0.70199999999999996</v>
      </c>
      <c r="E52" s="292">
        <v>0.56599999999999995</v>
      </c>
      <c r="F52" s="292">
        <v>0.499</v>
      </c>
      <c r="G52" s="292">
        <v>0.42899999999999999</v>
      </c>
      <c r="H52" s="292">
        <v>0.374</v>
      </c>
    </row>
    <row r="53" spans="1:8" x14ac:dyDescent="0.25">
      <c r="A53" s="288"/>
      <c r="B53" s="312"/>
      <c r="C53" s="298">
        <v>1</v>
      </c>
      <c r="D53" s="292">
        <v>0.80200000000000005</v>
      </c>
      <c r="E53" s="292">
        <v>0.66</v>
      </c>
      <c r="F53" s="292">
        <v>0.57499999999999996</v>
      </c>
      <c r="G53" s="292">
        <v>0.498</v>
      </c>
      <c r="H53" s="292">
        <v>0.435</v>
      </c>
    </row>
    <row r="54" spans="1:8" x14ac:dyDescent="0.25">
      <c r="A54" s="288"/>
      <c r="B54" s="313"/>
      <c r="C54" s="299">
        <v>2</v>
      </c>
      <c r="D54" s="292">
        <v>0.88100000000000001</v>
      </c>
      <c r="E54" s="292">
        <v>0.72099999999999997</v>
      </c>
      <c r="F54" s="292">
        <v>0.61699999999999999</v>
      </c>
      <c r="G54" s="292">
        <v>0.53800000000000003</v>
      </c>
      <c r="H54" s="292">
        <v>0.47099999999999997</v>
      </c>
    </row>
    <row r="55" spans="1:8" x14ac:dyDescent="0.25">
      <c r="A55" s="288"/>
      <c r="B55" s="287"/>
      <c r="C55" s="287"/>
      <c r="D55" s="289"/>
      <c r="E55" s="289"/>
      <c r="F55" s="289"/>
      <c r="G55" s="289"/>
      <c r="H55" s="289"/>
    </row>
    <row r="56" spans="1:8" x14ac:dyDescent="0.25">
      <c r="A56" s="288"/>
      <c r="B56" s="287"/>
      <c r="C56" s="287"/>
      <c r="D56" s="289"/>
      <c r="E56" s="289"/>
      <c r="F56" s="289"/>
      <c r="G56" s="289"/>
      <c r="H56" s="289"/>
    </row>
    <row r="57" spans="1:8" x14ac:dyDescent="0.25">
      <c r="A57" s="288"/>
      <c r="B57" s="287"/>
      <c r="C57" s="287"/>
      <c r="D57" s="289"/>
      <c r="E57" s="289"/>
      <c r="F57" s="289"/>
      <c r="G57" s="289"/>
      <c r="H57" s="289"/>
    </row>
    <row r="58" spans="1:8" ht="23.25" x14ac:dyDescent="0.35">
      <c r="A58" s="294" t="s">
        <v>225</v>
      </c>
      <c r="B58" s="287"/>
      <c r="C58" s="287"/>
      <c r="D58" s="289"/>
      <c r="E58" s="289"/>
      <c r="F58" s="289"/>
      <c r="G58" s="289"/>
      <c r="H58" s="289"/>
    </row>
    <row r="59" spans="1:8" x14ac:dyDescent="0.25">
      <c r="B59" t="s">
        <v>220</v>
      </c>
      <c r="C59" t="s">
        <v>221</v>
      </c>
      <c r="D59" s="289"/>
      <c r="E59" s="289" t="s">
        <v>222</v>
      </c>
      <c r="F59" s="289"/>
      <c r="G59" s="289"/>
      <c r="H59" s="289"/>
    </row>
    <row r="60" spans="1:8" x14ac:dyDescent="0.25">
      <c r="A60" s="288"/>
      <c r="B60" s="287"/>
      <c r="C60" s="287"/>
      <c r="D60" s="289"/>
      <c r="E60" s="289"/>
      <c r="F60" s="289"/>
      <c r="G60" s="289"/>
      <c r="H60" s="289"/>
    </row>
    <row r="61" spans="1:8" x14ac:dyDescent="0.25">
      <c r="A61" s="288"/>
      <c r="C61" s="288"/>
      <c r="D61" s="290"/>
      <c r="E61" s="11"/>
      <c r="F61" s="26" t="s">
        <v>223</v>
      </c>
      <c r="G61" s="11"/>
      <c r="H61" s="291"/>
    </row>
    <row r="62" spans="1:8" x14ac:dyDescent="0.25">
      <c r="A62" s="288"/>
      <c r="C62" s="300"/>
      <c r="D62" s="295">
        <v>0.5</v>
      </c>
      <c r="E62" s="295">
        <v>0.75</v>
      </c>
      <c r="F62" s="295">
        <v>1</v>
      </c>
      <c r="G62" s="295">
        <v>1.25</v>
      </c>
      <c r="H62" s="296">
        <v>1.5</v>
      </c>
    </row>
    <row r="63" spans="1:8" ht="15" customHeight="1" x14ac:dyDescent="0.25">
      <c r="A63" s="288"/>
      <c r="B63" s="311" t="s">
        <v>224</v>
      </c>
      <c r="C63" s="298">
        <v>0</v>
      </c>
      <c r="D63" s="292">
        <v>0.66800000000000004</v>
      </c>
      <c r="E63" s="292">
        <v>0.51500000000000001</v>
      </c>
      <c r="F63" s="292">
        <v>0.41799999999999998</v>
      </c>
      <c r="G63" s="292">
        <v>0.35199999999999998</v>
      </c>
      <c r="H63" s="292">
        <v>0.30399999999999999</v>
      </c>
    </row>
    <row r="64" spans="1:8" x14ac:dyDescent="0.25">
      <c r="A64" s="288"/>
      <c r="B64" s="312"/>
      <c r="C64" s="298">
        <v>0.25</v>
      </c>
      <c r="D64" s="292">
        <v>0.77300000000000002</v>
      </c>
      <c r="E64" s="292">
        <v>0.60499999999999998</v>
      </c>
      <c r="F64" s="292">
        <v>0.49299999999999999</v>
      </c>
      <c r="G64" s="292">
        <v>0.41499999999999998</v>
      </c>
      <c r="H64" s="292">
        <v>0.35899999999999999</v>
      </c>
    </row>
    <row r="65" spans="1:10" x14ac:dyDescent="0.25">
      <c r="A65" s="288"/>
      <c r="B65" s="312"/>
      <c r="C65" s="298">
        <v>0.5</v>
      </c>
      <c r="D65" s="292">
        <v>0.83399999999999996</v>
      </c>
      <c r="E65" s="292">
        <v>0.66800000000000004</v>
      </c>
      <c r="F65" s="292">
        <v>0.55000000000000004</v>
      </c>
      <c r="G65" s="292">
        <v>0.46600000000000003</v>
      </c>
      <c r="H65" s="292">
        <v>0.40400000000000003</v>
      </c>
    </row>
    <row r="66" spans="1:10" x14ac:dyDescent="0.25">
      <c r="A66" s="288"/>
      <c r="B66" s="312"/>
      <c r="C66" s="298">
        <v>1</v>
      </c>
      <c r="D66" s="292">
        <v>0.89300000000000002</v>
      </c>
      <c r="E66" s="292">
        <v>0.73399999999999999</v>
      </c>
      <c r="F66" s="292">
        <v>0.61199999999999999</v>
      </c>
      <c r="G66" s="292">
        <v>0.52200000000000002</v>
      </c>
      <c r="H66" s="292">
        <v>0.45500000000000002</v>
      </c>
    </row>
    <row r="67" spans="1:10" x14ac:dyDescent="0.25">
      <c r="A67" s="288"/>
      <c r="B67" s="313"/>
      <c r="C67" s="299">
        <v>2</v>
      </c>
      <c r="D67" s="292">
        <v>0.89900000000000002</v>
      </c>
      <c r="E67" s="292">
        <v>0.748</v>
      </c>
      <c r="F67" s="292">
        <v>0.625</v>
      </c>
      <c r="G67" s="292">
        <v>0.53100000000000003</v>
      </c>
      <c r="H67" s="292">
        <v>0.46100000000000002</v>
      </c>
    </row>
    <row r="68" spans="1:10" x14ac:dyDescent="0.25">
      <c r="A68" s="288"/>
      <c r="C68" s="287"/>
      <c r="D68" s="289"/>
      <c r="E68" s="289"/>
      <c r="F68" s="289"/>
      <c r="G68" s="289"/>
      <c r="H68" s="289"/>
    </row>
    <row r="69" spans="1:10" x14ac:dyDescent="0.25">
      <c r="A69" s="288"/>
      <c r="C69" s="287"/>
      <c r="D69" s="289"/>
      <c r="E69" s="289"/>
      <c r="F69" s="289"/>
      <c r="G69" s="289"/>
      <c r="H69" s="289"/>
    </row>
    <row r="70" spans="1:10" x14ac:dyDescent="0.25">
      <c r="A70" s="288"/>
      <c r="B70" s="287"/>
      <c r="C70" s="287"/>
      <c r="D70" s="289"/>
      <c r="E70" s="289"/>
      <c r="F70" s="289"/>
      <c r="G70" s="289"/>
      <c r="H70" s="289"/>
    </row>
    <row r="71" spans="1:10" ht="23.25" x14ac:dyDescent="0.35">
      <c r="A71" s="294" t="s">
        <v>226</v>
      </c>
      <c r="B71" s="287"/>
      <c r="C71" s="287"/>
      <c r="D71" s="289"/>
      <c r="E71" s="289"/>
      <c r="F71" s="289"/>
      <c r="G71" s="289"/>
      <c r="H71" s="289"/>
    </row>
    <row r="72" spans="1:10" x14ac:dyDescent="0.25">
      <c r="A72" s="288"/>
      <c r="B72" s="301" t="s">
        <v>227</v>
      </c>
      <c r="C72" s="287"/>
      <c r="D72" s="289"/>
      <c r="E72" s="289"/>
      <c r="F72" s="289"/>
      <c r="G72" s="289"/>
      <c r="H72" s="289"/>
    </row>
    <row r="73" spans="1:10" x14ac:dyDescent="0.25">
      <c r="A73" s="288"/>
      <c r="B73" s="301" t="s">
        <v>232</v>
      </c>
      <c r="C73" s="309">
        <f>'Eingaben &amp; Berechnung'!C7</f>
        <v>59</v>
      </c>
      <c r="D73" s="289"/>
      <c r="E73" s="289"/>
      <c r="F73" s="289"/>
      <c r="G73" s="289"/>
      <c r="H73" s="289"/>
    </row>
    <row r="74" spans="1:10" x14ac:dyDescent="0.25">
      <c r="A74" s="288"/>
      <c r="B74" s="301" t="s">
        <v>228</v>
      </c>
      <c r="C74" s="289">
        <f>IF(C73&gt;11,100%,(SQRT(C73)-SQRT(1))/(SQRT(11)-SQRT(1)))</f>
        <v>1</v>
      </c>
      <c r="D74" s="293" t="s">
        <v>233</v>
      </c>
      <c r="E74" s="289"/>
      <c r="F74" s="289"/>
      <c r="G74" s="289"/>
      <c r="H74" s="289"/>
    </row>
    <row r="75" spans="1:10" x14ac:dyDescent="0.25">
      <c r="A75" s="288"/>
      <c r="B75" s="287"/>
      <c r="C75" s="287"/>
      <c r="D75" s="289"/>
      <c r="E75" s="289"/>
      <c r="F75" s="289"/>
      <c r="G75" s="289"/>
      <c r="H75" s="289"/>
    </row>
    <row r="76" spans="1:10" x14ac:dyDescent="0.25">
      <c r="A76" s="288"/>
      <c r="B76" s="288"/>
      <c r="D76" s="290"/>
      <c r="E76" s="11"/>
      <c r="F76" s="26" t="s">
        <v>223</v>
      </c>
      <c r="G76" s="11"/>
      <c r="H76" s="291"/>
      <c r="I76" s="288"/>
      <c r="J76" s="288"/>
    </row>
    <row r="77" spans="1:10" x14ac:dyDescent="0.25">
      <c r="A77" s="288"/>
      <c r="B77" s="288"/>
      <c r="C77" s="310"/>
      <c r="D77" s="295" t="s">
        <v>244</v>
      </c>
      <c r="E77" s="295" t="s">
        <v>245</v>
      </c>
      <c r="F77" s="295" t="s">
        <v>246</v>
      </c>
      <c r="G77" s="295" t="s">
        <v>247</v>
      </c>
      <c r="H77" s="296" t="s">
        <v>248</v>
      </c>
    </row>
    <row r="78" spans="1:10" ht="15" customHeight="1" x14ac:dyDescent="0.25">
      <c r="A78" s="288"/>
      <c r="B78" s="311" t="s">
        <v>224</v>
      </c>
      <c r="C78" s="298">
        <v>0</v>
      </c>
      <c r="D78" s="292">
        <f t="shared" ref="D78:H82" si="0">D63*$C$74+D50*(1-$C$74)</f>
        <v>0.66800000000000004</v>
      </c>
      <c r="E78" s="292">
        <f t="shared" si="0"/>
        <v>0.51500000000000001</v>
      </c>
      <c r="F78" s="292">
        <f t="shared" si="0"/>
        <v>0.41799999999999998</v>
      </c>
      <c r="G78" s="292">
        <f t="shared" si="0"/>
        <v>0.35199999999999998</v>
      </c>
      <c r="H78" s="292">
        <f t="shared" si="0"/>
        <v>0.30399999999999999</v>
      </c>
    </row>
    <row r="79" spans="1:10" x14ac:dyDescent="0.25">
      <c r="A79" s="288"/>
      <c r="B79" s="312"/>
      <c r="C79" s="298">
        <v>0.25</v>
      </c>
      <c r="D79" s="292">
        <f t="shared" si="0"/>
        <v>0.77300000000000002</v>
      </c>
      <c r="E79" s="292">
        <f t="shared" si="0"/>
        <v>0.60499999999999998</v>
      </c>
      <c r="F79" s="292">
        <f t="shared" si="0"/>
        <v>0.49299999999999999</v>
      </c>
      <c r="G79" s="292">
        <f t="shared" si="0"/>
        <v>0.41499999999999998</v>
      </c>
      <c r="H79" s="292">
        <f t="shared" si="0"/>
        <v>0.35899999999999999</v>
      </c>
    </row>
    <row r="80" spans="1:10" ht="14.25" customHeight="1" x14ac:dyDescent="0.25">
      <c r="A80" s="288"/>
      <c r="B80" s="312"/>
      <c r="C80" s="298">
        <v>0.5</v>
      </c>
      <c r="D80" s="292">
        <f t="shared" si="0"/>
        <v>0.83399999999999996</v>
      </c>
      <c r="E80" s="292">
        <f t="shared" si="0"/>
        <v>0.66800000000000004</v>
      </c>
      <c r="F80" s="292">
        <f t="shared" si="0"/>
        <v>0.55000000000000004</v>
      </c>
      <c r="G80" s="292">
        <f t="shared" si="0"/>
        <v>0.46600000000000003</v>
      </c>
      <c r="H80" s="292">
        <f t="shared" si="0"/>
        <v>0.40400000000000003</v>
      </c>
    </row>
    <row r="81" spans="1:8" x14ac:dyDescent="0.25">
      <c r="A81" s="288"/>
      <c r="B81" s="312"/>
      <c r="C81" s="298">
        <v>1</v>
      </c>
      <c r="D81" s="292">
        <f t="shared" si="0"/>
        <v>0.89300000000000002</v>
      </c>
      <c r="E81" s="292">
        <f t="shared" si="0"/>
        <v>0.73399999999999999</v>
      </c>
      <c r="F81" s="292">
        <f t="shared" si="0"/>
        <v>0.61199999999999999</v>
      </c>
      <c r="G81" s="292">
        <f t="shared" si="0"/>
        <v>0.52200000000000002</v>
      </c>
      <c r="H81" s="292">
        <f t="shared" si="0"/>
        <v>0.45500000000000002</v>
      </c>
    </row>
    <row r="82" spans="1:8" x14ac:dyDescent="0.25">
      <c r="A82" s="288"/>
      <c r="B82" s="313"/>
      <c r="C82" s="299">
        <v>2</v>
      </c>
      <c r="D82" s="292">
        <f t="shared" si="0"/>
        <v>0.89900000000000002</v>
      </c>
      <c r="E82" s="292">
        <f t="shared" si="0"/>
        <v>0.748</v>
      </c>
      <c r="F82" s="292">
        <f t="shared" si="0"/>
        <v>0.625</v>
      </c>
      <c r="G82" s="292">
        <f t="shared" si="0"/>
        <v>0.53100000000000003</v>
      </c>
      <c r="H82" s="292">
        <f t="shared" si="0"/>
        <v>0.46100000000000002</v>
      </c>
    </row>
    <row r="83" spans="1:8" x14ac:dyDescent="0.25">
      <c r="B83" s="288"/>
      <c r="D83"/>
      <c r="E83"/>
      <c r="F83"/>
    </row>
    <row r="84" spans="1:8" x14ac:dyDescent="0.25">
      <c r="D84"/>
      <c r="E84"/>
      <c r="F84"/>
    </row>
    <row r="85" spans="1:8" x14ac:dyDescent="0.25">
      <c r="D85"/>
      <c r="E85"/>
      <c r="F85"/>
    </row>
    <row r="86" spans="1:8" x14ac:dyDescent="0.25">
      <c r="D86"/>
      <c r="E86"/>
      <c r="F86"/>
    </row>
    <row r="87" spans="1:8" x14ac:dyDescent="0.25">
      <c r="D87"/>
      <c r="E87"/>
      <c r="F87"/>
    </row>
    <row r="88" spans="1:8" x14ac:dyDescent="0.25">
      <c r="D88"/>
      <c r="E88"/>
      <c r="F88"/>
    </row>
    <row r="89" spans="1:8" x14ac:dyDescent="0.25">
      <c r="D89"/>
      <c r="E89"/>
      <c r="F89"/>
    </row>
    <row r="90" spans="1:8" x14ac:dyDescent="0.25">
      <c r="D90"/>
      <c r="E90"/>
      <c r="F90"/>
    </row>
    <row r="91" spans="1:8" x14ac:dyDescent="0.25">
      <c r="D91"/>
      <c r="E91"/>
      <c r="F91"/>
    </row>
    <row r="92" spans="1:8" x14ac:dyDescent="0.25">
      <c r="D92"/>
      <c r="E92"/>
      <c r="F92"/>
    </row>
    <row r="93" spans="1:8" x14ac:dyDescent="0.25">
      <c r="D93"/>
      <c r="E93"/>
      <c r="F93"/>
    </row>
    <row r="94" spans="1:8" x14ac:dyDescent="0.25">
      <c r="D94"/>
      <c r="E94"/>
      <c r="F94"/>
    </row>
    <row r="95" spans="1:8" x14ac:dyDescent="0.25">
      <c r="D95"/>
      <c r="E95"/>
      <c r="F95"/>
    </row>
    <row r="96" spans="1:8" x14ac:dyDescent="0.25">
      <c r="D96"/>
      <c r="E96"/>
      <c r="F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</sheetData>
  <mergeCells count="3">
    <mergeCell ref="B78:B82"/>
    <mergeCell ref="B50:B54"/>
    <mergeCell ref="B63:B6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EF03-68FC-4626-A926-37BF410492D2}">
  <dimension ref="A1:G119"/>
  <sheetViews>
    <sheetView workbookViewId="0">
      <selection activeCell="C10" sqref="C10"/>
    </sheetView>
  </sheetViews>
  <sheetFormatPr defaultRowHeight="15" x14ac:dyDescent="0.25"/>
  <cols>
    <col min="1" max="1" width="18.42578125" style="1" customWidth="1"/>
    <col min="2" max="4" width="12.7109375" customWidth="1"/>
    <col min="5" max="5" width="3.28515625" customWidth="1"/>
    <col min="6" max="7" width="15.7109375" style="3" customWidth="1"/>
  </cols>
  <sheetData>
    <row r="1" spans="1:7" x14ac:dyDescent="0.25">
      <c r="A1" s="1" t="s">
        <v>57</v>
      </c>
    </row>
    <row r="3" spans="1:7" x14ac:dyDescent="0.25">
      <c r="A3" s="47" t="s">
        <v>58</v>
      </c>
      <c r="B3" s="11"/>
      <c r="C3" s="26" t="s">
        <v>32</v>
      </c>
      <c r="D3" s="11"/>
    </row>
    <row r="4" spans="1:7" x14ac:dyDescent="0.25">
      <c r="A4" s="48" t="s">
        <v>59</v>
      </c>
      <c r="B4" s="27" t="s">
        <v>28</v>
      </c>
      <c r="C4" s="27" t="s">
        <v>29</v>
      </c>
      <c r="D4" s="27" t="s">
        <v>30</v>
      </c>
    </row>
    <row r="5" spans="1:7" x14ac:dyDescent="0.25">
      <c r="A5" s="22" t="s">
        <v>11</v>
      </c>
      <c r="B5" s="18">
        <f>0.082</f>
        <v>8.2000000000000003E-2</v>
      </c>
      <c r="C5" s="18">
        <f>0.071</f>
        <v>7.0999999999999994E-2</v>
      </c>
      <c r="D5" s="18">
        <f>0.058</f>
        <v>5.8000000000000003E-2</v>
      </c>
      <c r="E5" s="2" t="s">
        <v>2</v>
      </c>
      <c r="G5" s="31" t="s">
        <v>34</v>
      </c>
    </row>
    <row r="6" spans="1:7" x14ac:dyDescent="0.25">
      <c r="A6" s="22" t="s">
        <v>7</v>
      </c>
      <c r="B6" s="18">
        <f>0.13</f>
        <v>0.13</v>
      </c>
      <c r="C6" s="18">
        <f>0.109</f>
        <v>0.109</v>
      </c>
      <c r="D6" s="18">
        <f>0.109</f>
        <v>0.109</v>
      </c>
      <c r="E6" s="2" t="s">
        <v>2</v>
      </c>
      <c r="G6" s="31" t="s">
        <v>34</v>
      </c>
    </row>
    <row r="8" spans="1:7" x14ac:dyDescent="0.25">
      <c r="A8" s="1" t="s">
        <v>55</v>
      </c>
      <c r="C8" s="44">
        <f>'Eingaben &amp; Berechnung'!C12</f>
        <v>46143</v>
      </c>
      <c r="G8" s="36"/>
    </row>
    <row r="9" spans="1:7" x14ac:dyDescent="0.25">
      <c r="A9" s="1" t="s">
        <v>61</v>
      </c>
      <c r="B9" s="49">
        <v>45292</v>
      </c>
      <c r="C9" s="46">
        <f>IF(C8&lt;B9,0,CEILING(DATEDIF(B9,C8,"m")/6,1))</f>
        <v>5</v>
      </c>
      <c r="F9" s="36"/>
      <c r="G9" s="45"/>
    </row>
    <row r="10" spans="1:7" x14ac:dyDescent="0.25">
      <c r="A10" s="21"/>
    </row>
    <row r="11" spans="1:7" x14ac:dyDescent="0.25">
      <c r="A11" s="47" t="s">
        <v>60</v>
      </c>
      <c r="B11" s="11"/>
      <c r="C11" s="26" t="s">
        <v>32</v>
      </c>
      <c r="D11" s="11"/>
    </row>
    <row r="12" spans="1:7" x14ac:dyDescent="0.25">
      <c r="A12" s="48">
        <f>C8</f>
        <v>46143</v>
      </c>
      <c r="B12" s="27" t="s">
        <v>28</v>
      </c>
      <c r="C12" s="27" t="s">
        <v>29</v>
      </c>
      <c r="D12" s="27" t="s">
        <v>30</v>
      </c>
    </row>
    <row r="13" spans="1:7" x14ac:dyDescent="0.25">
      <c r="A13" s="22" t="s">
        <v>11</v>
      </c>
      <c r="B13" s="18">
        <f>B5*(1-$C$9/100)</f>
        <v>7.7899999999999997E-2</v>
      </c>
      <c r="C13" s="18">
        <f t="shared" ref="C13:D13" si="0">C5*(1-$C$9/100)</f>
        <v>6.7449999999999996E-2</v>
      </c>
      <c r="D13" s="18">
        <f t="shared" si="0"/>
        <v>5.5100000000000003E-2</v>
      </c>
      <c r="E13" s="2" t="s">
        <v>2</v>
      </c>
      <c r="G13" s="31"/>
    </row>
    <row r="14" spans="1:7" x14ac:dyDescent="0.25">
      <c r="A14" s="22" t="s">
        <v>7</v>
      </c>
      <c r="B14" s="18">
        <f>B6*(1-$C$9/100)</f>
        <v>0.1235</v>
      </c>
      <c r="C14" s="18">
        <f t="shared" ref="C14:D14" si="1">C6*(1-$C$9/100)</f>
        <v>0.10354999999999999</v>
      </c>
      <c r="D14" s="18">
        <f t="shared" si="1"/>
        <v>0.10354999999999999</v>
      </c>
      <c r="E14" s="2" t="s">
        <v>2</v>
      </c>
      <c r="G14" s="31"/>
    </row>
    <row r="16" spans="1:7" s="10" customFormat="1" x14ac:dyDescent="0.25">
      <c r="A16" s="23" t="s">
        <v>17</v>
      </c>
      <c r="B16" s="19"/>
      <c r="C16" s="26" t="s">
        <v>32</v>
      </c>
      <c r="D16" s="19"/>
      <c r="E16" s="19"/>
      <c r="F16" s="29" t="s">
        <v>31</v>
      </c>
      <c r="G16" s="29" t="s">
        <v>31</v>
      </c>
    </row>
    <row r="17" spans="1:7" s="10" customFormat="1" x14ac:dyDescent="0.25">
      <c r="A17" s="23"/>
      <c r="B17" s="19" t="str">
        <f>B12</f>
        <v>0 - 10 kWp</v>
      </c>
      <c r="C17" s="19" t="str">
        <f t="shared" ref="C17:D17" si="2">C12</f>
        <v>10 - 40 kWp</v>
      </c>
      <c r="D17" s="19" t="str">
        <f t="shared" si="2"/>
        <v>40 - 100 kWp</v>
      </c>
      <c r="E17" s="19"/>
      <c r="F17" s="29" t="s">
        <v>11</v>
      </c>
      <c r="G17" s="29" t="s">
        <v>7</v>
      </c>
    </row>
    <row r="18" spans="1:7" s="10" customFormat="1" x14ac:dyDescent="0.25">
      <c r="A18" s="24" t="s">
        <v>0</v>
      </c>
      <c r="B18" s="20" t="s">
        <v>0</v>
      </c>
      <c r="C18" s="20" t="s">
        <v>0</v>
      </c>
      <c r="D18" s="20" t="s">
        <v>0</v>
      </c>
      <c r="E18" s="20"/>
      <c r="F18" s="30" t="s">
        <v>33</v>
      </c>
      <c r="G18" s="30" t="s">
        <v>33</v>
      </c>
    </row>
    <row r="19" spans="1:7" x14ac:dyDescent="0.25">
      <c r="A19" s="25">
        <v>1</v>
      </c>
      <c r="B19">
        <f>IF($A19&lt;10,$A19,10)</f>
        <v>1</v>
      </c>
      <c r="C19">
        <f>IF($A19&lt;10,0,IF($A19&gt;40,30,$A19-10))</f>
        <v>0</v>
      </c>
      <c r="D19">
        <f>IF(A19&lt;40,0,A19-40)</f>
        <v>0</v>
      </c>
      <c r="F19" s="3">
        <f>(B19*B$13+C19*C$13+D19*D$13)/$A19</f>
        <v>7.7899999999999997E-2</v>
      </c>
      <c r="G19" s="3">
        <f>(B19*B$14+C19*C$14+D19*D$14)/$A19</f>
        <v>0.1235</v>
      </c>
    </row>
    <row r="20" spans="1:7" x14ac:dyDescent="0.25">
      <c r="A20" s="25">
        <v>2</v>
      </c>
      <c r="B20">
        <f t="shared" ref="B20:B83" si="3">IF($A20&lt;10,$A20,10)</f>
        <v>2</v>
      </c>
      <c r="C20">
        <f t="shared" ref="C20:C83" si="4">IF($A20&lt;10,0,IF($A20&gt;40,30,$A20-10))</f>
        <v>0</v>
      </c>
      <c r="D20">
        <f t="shared" ref="D20:D83" si="5">IF(A20&lt;40,0,A20-40)</f>
        <v>0</v>
      </c>
      <c r="F20" s="3">
        <f t="shared" ref="F20:F83" si="6">(B20*B$13+C20*C$13+D20*D$13)/$A20</f>
        <v>7.7899999999999997E-2</v>
      </c>
      <c r="G20" s="3">
        <f t="shared" ref="G20:G83" si="7">(B20*B$14+C20*C$14+D20*D$14)/$A20</f>
        <v>0.1235</v>
      </c>
    </row>
    <row r="21" spans="1:7" x14ac:dyDescent="0.25">
      <c r="A21" s="25">
        <v>3</v>
      </c>
      <c r="B21">
        <f t="shared" si="3"/>
        <v>3</v>
      </c>
      <c r="C21">
        <f t="shared" si="4"/>
        <v>0</v>
      </c>
      <c r="D21">
        <f t="shared" si="5"/>
        <v>0</v>
      </c>
      <c r="F21" s="3">
        <f t="shared" si="6"/>
        <v>7.7899999999999997E-2</v>
      </c>
      <c r="G21" s="3">
        <f t="shared" si="7"/>
        <v>0.1235</v>
      </c>
    </row>
    <row r="22" spans="1:7" x14ac:dyDescent="0.25">
      <c r="A22" s="25">
        <v>4</v>
      </c>
      <c r="B22">
        <f t="shared" si="3"/>
        <v>4</v>
      </c>
      <c r="C22">
        <f t="shared" si="4"/>
        <v>0</v>
      </c>
      <c r="D22">
        <f t="shared" si="5"/>
        <v>0</v>
      </c>
      <c r="F22" s="3">
        <f t="shared" si="6"/>
        <v>7.7899999999999997E-2</v>
      </c>
      <c r="G22" s="3">
        <f t="shared" si="7"/>
        <v>0.1235</v>
      </c>
    </row>
    <row r="23" spans="1:7" x14ac:dyDescent="0.25">
      <c r="A23" s="25">
        <v>5</v>
      </c>
      <c r="B23">
        <f t="shared" si="3"/>
        <v>5</v>
      </c>
      <c r="C23">
        <f t="shared" si="4"/>
        <v>0</v>
      </c>
      <c r="D23">
        <f t="shared" si="5"/>
        <v>0</v>
      </c>
      <c r="F23" s="3">
        <f t="shared" si="6"/>
        <v>7.7899999999999997E-2</v>
      </c>
      <c r="G23" s="3">
        <f t="shared" si="7"/>
        <v>0.12349999999999998</v>
      </c>
    </row>
    <row r="24" spans="1:7" x14ac:dyDescent="0.25">
      <c r="A24" s="25">
        <v>6</v>
      </c>
      <c r="B24">
        <f t="shared" si="3"/>
        <v>6</v>
      </c>
      <c r="C24">
        <f t="shared" si="4"/>
        <v>0</v>
      </c>
      <c r="D24">
        <f t="shared" si="5"/>
        <v>0</v>
      </c>
      <c r="F24" s="3">
        <f t="shared" si="6"/>
        <v>7.7899999999999997E-2</v>
      </c>
      <c r="G24" s="3">
        <f t="shared" si="7"/>
        <v>0.1235</v>
      </c>
    </row>
    <row r="25" spans="1:7" x14ac:dyDescent="0.25">
      <c r="A25" s="25">
        <v>7</v>
      </c>
      <c r="B25">
        <f t="shared" si="3"/>
        <v>7</v>
      </c>
      <c r="C25">
        <f t="shared" si="4"/>
        <v>0</v>
      </c>
      <c r="D25">
        <f t="shared" si="5"/>
        <v>0</v>
      </c>
      <c r="F25" s="3">
        <f t="shared" si="6"/>
        <v>7.7899999999999997E-2</v>
      </c>
      <c r="G25" s="3">
        <f t="shared" si="7"/>
        <v>0.12350000000000001</v>
      </c>
    </row>
    <row r="26" spans="1:7" x14ac:dyDescent="0.25">
      <c r="A26" s="25">
        <v>8</v>
      </c>
      <c r="B26">
        <f t="shared" si="3"/>
        <v>8</v>
      </c>
      <c r="C26">
        <f t="shared" si="4"/>
        <v>0</v>
      </c>
      <c r="D26">
        <f t="shared" si="5"/>
        <v>0</v>
      </c>
      <c r="F26" s="3">
        <f t="shared" si="6"/>
        <v>7.7899999999999997E-2</v>
      </c>
      <c r="G26" s="3">
        <f t="shared" si="7"/>
        <v>0.1235</v>
      </c>
    </row>
    <row r="27" spans="1:7" x14ac:dyDescent="0.25">
      <c r="A27" s="25">
        <v>9</v>
      </c>
      <c r="B27">
        <f t="shared" si="3"/>
        <v>9</v>
      </c>
      <c r="C27">
        <f t="shared" si="4"/>
        <v>0</v>
      </c>
      <c r="D27">
        <f t="shared" si="5"/>
        <v>0</v>
      </c>
      <c r="F27" s="3">
        <f t="shared" si="6"/>
        <v>7.7899999999999997E-2</v>
      </c>
      <c r="G27" s="3">
        <f t="shared" si="7"/>
        <v>0.1235</v>
      </c>
    </row>
    <row r="28" spans="1:7" x14ac:dyDescent="0.25">
      <c r="A28" s="25">
        <v>10</v>
      </c>
      <c r="B28">
        <f t="shared" si="3"/>
        <v>10</v>
      </c>
      <c r="C28">
        <f t="shared" si="4"/>
        <v>0</v>
      </c>
      <c r="D28">
        <f t="shared" si="5"/>
        <v>0</v>
      </c>
      <c r="F28" s="3">
        <f t="shared" si="6"/>
        <v>7.7899999999999997E-2</v>
      </c>
      <c r="G28" s="3">
        <f t="shared" si="7"/>
        <v>0.12349999999999998</v>
      </c>
    </row>
    <row r="29" spans="1:7" x14ac:dyDescent="0.25">
      <c r="A29" s="25">
        <v>11</v>
      </c>
      <c r="B29">
        <f t="shared" si="3"/>
        <v>10</v>
      </c>
      <c r="C29">
        <f t="shared" si="4"/>
        <v>1</v>
      </c>
      <c r="D29">
        <f t="shared" si="5"/>
        <v>0</v>
      </c>
      <c r="F29" s="3">
        <f t="shared" si="6"/>
        <v>7.6949999999999991E-2</v>
      </c>
      <c r="G29" s="3">
        <f t="shared" si="7"/>
        <v>0.12168636363636363</v>
      </c>
    </row>
    <row r="30" spans="1:7" x14ac:dyDescent="0.25">
      <c r="A30" s="25">
        <v>12</v>
      </c>
      <c r="B30">
        <f t="shared" si="3"/>
        <v>10</v>
      </c>
      <c r="C30">
        <f t="shared" si="4"/>
        <v>2</v>
      </c>
      <c r="D30">
        <f t="shared" si="5"/>
        <v>0</v>
      </c>
      <c r="F30" s="3">
        <f t="shared" si="6"/>
        <v>7.6158333333333328E-2</v>
      </c>
      <c r="G30" s="3">
        <f t="shared" si="7"/>
        <v>0.12017499999999999</v>
      </c>
    </row>
    <row r="31" spans="1:7" x14ac:dyDescent="0.25">
      <c r="A31" s="25">
        <v>13</v>
      </c>
      <c r="B31">
        <f t="shared" si="3"/>
        <v>10</v>
      </c>
      <c r="C31">
        <f t="shared" si="4"/>
        <v>3</v>
      </c>
      <c r="D31">
        <f t="shared" si="5"/>
        <v>0</v>
      </c>
      <c r="F31" s="3">
        <f t="shared" si="6"/>
        <v>7.5488461538461532E-2</v>
      </c>
      <c r="G31" s="3">
        <f t="shared" si="7"/>
        <v>0.11889615384615383</v>
      </c>
    </row>
    <row r="32" spans="1:7" x14ac:dyDescent="0.25">
      <c r="A32" s="25">
        <v>14</v>
      </c>
      <c r="B32">
        <f t="shared" si="3"/>
        <v>10</v>
      </c>
      <c r="C32">
        <f t="shared" si="4"/>
        <v>4</v>
      </c>
      <c r="D32">
        <f t="shared" si="5"/>
        <v>0</v>
      </c>
      <c r="F32" s="3">
        <f t="shared" si="6"/>
        <v>7.4914285714285711E-2</v>
      </c>
      <c r="G32" s="3">
        <f t="shared" si="7"/>
        <v>0.11779999999999999</v>
      </c>
    </row>
    <row r="33" spans="1:7" x14ac:dyDescent="0.25">
      <c r="A33" s="25">
        <v>15</v>
      </c>
      <c r="B33">
        <f t="shared" si="3"/>
        <v>10</v>
      </c>
      <c r="C33">
        <f t="shared" si="4"/>
        <v>5</v>
      </c>
      <c r="D33">
        <f t="shared" si="5"/>
        <v>0</v>
      </c>
      <c r="F33" s="3">
        <f t="shared" si="6"/>
        <v>7.4416666666666659E-2</v>
      </c>
      <c r="G33" s="3">
        <f t="shared" si="7"/>
        <v>0.11684999999999998</v>
      </c>
    </row>
    <row r="34" spans="1:7" x14ac:dyDescent="0.25">
      <c r="A34" s="25">
        <v>16</v>
      </c>
      <c r="B34">
        <f t="shared" si="3"/>
        <v>10</v>
      </c>
      <c r="C34">
        <f t="shared" si="4"/>
        <v>6</v>
      </c>
      <c r="D34">
        <f t="shared" si="5"/>
        <v>0</v>
      </c>
      <c r="F34" s="3">
        <f t="shared" si="6"/>
        <v>7.3981249999999998E-2</v>
      </c>
      <c r="G34" s="3">
        <f t="shared" si="7"/>
        <v>0.11601874999999999</v>
      </c>
    </row>
    <row r="35" spans="1:7" x14ac:dyDescent="0.25">
      <c r="A35" s="25">
        <v>17</v>
      </c>
      <c r="B35">
        <f t="shared" si="3"/>
        <v>10</v>
      </c>
      <c r="C35">
        <f t="shared" si="4"/>
        <v>7</v>
      </c>
      <c r="D35">
        <f t="shared" si="5"/>
        <v>0</v>
      </c>
      <c r="F35" s="3">
        <f t="shared" si="6"/>
        <v>7.3597058823529404E-2</v>
      </c>
      <c r="G35" s="3">
        <f t="shared" si="7"/>
        <v>0.11528529411764706</v>
      </c>
    </row>
    <row r="36" spans="1:7" x14ac:dyDescent="0.25">
      <c r="A36" s="25">
        <v>18</v>
      </c>
      <c r="B36">
        <f t="shared" si="3"/>
        <v>10</v>
      </c>
      <c r="C36">
        <f t="shared" si="4"/>
        <v>8</v>
      </c>
      <c r="D36">
        <f t="shared" si="5"/>
        <v>0</v>
      </c>
      <c r="F36" s="3">
        <f t="shared" si="6"/>
        <v>7.325555555555556E-2</v>
      </c>
      <c r="G36" s="3">
        <f t="shared" si="7"/>
        <v>0.11463333333333331</v>
      </c>
    </row>
    <row r="37" spans="1:7" x14ac:dyDescent="0.25">
      <c r="A37" s="25">
        <v>19</v>
      </c>
      <c r="B37">
        <f t="shared" si="3"/>
        <v>10</v>
      </c>
      <c r="C37">
        <f t="shared" si="4"/>
        <v>9</v>
      </c>
      <c r="D37">
        <f t="shared" si="5"/>
        <v>0</v>
      </c>
      <c r="F37" s="3">
        <f t="shared" si="6"/>
        <v>7.2950000000000001E-2</v>
      </c>
      <c r="G37" s="3">
        <f t="shared" si="7"/>
        <v>0.11405</v>
      </c>
    </row>
    <row r="38" spans="1:7" x14ac:dyDescent="0.25">
      <c r="A38" s="25">
        <v>20</v>
      </c>
      <c r="B38">
        <f t="shared" si="3"/>
        <v>10</v>
      </c>
      <c r="C38">
        <f t="shared" si="4"/>
        <v>10</v>
      </c>
      <c r="D38">
        <f t="shared" si="5"/>
        <v>0</v>
      </c>
      <c r="F38" s="3">
        <f t="shared" si="6"/>
        <v>7.2675000000000003E-2</v>
      </c>
      <c r="G38" s="3">
        <f t="shared" si="7"/>
        <v>0.11352499999999999</v>
      </c>
    </row>
    <row r="39" spans="1:7" x14ac:dyDescent="0.25">
      <c r="A39" s="25">
        <v>21</v>
      </c>
      <c r="B39">
        <f t="shared" si="3"/>
        <v>10</v>
      </c>
      <c r="C39">
        <f t="shared" si="4"/>
        <v>11</v>
      </c>
      <c r="D39">
        <f t="shared" si="5"/>
        <v>0</v>
      </c>
      <c r="F39" s="3">
        <f t="shared" si="6"/>
        <v>7.2426190476190477E-2</v>
      </c>
      <c r="G39" s="3">
        <f t="shared" si="7"/>
        <v>0.11304999999999998</v>
      </c>
    </row>
    <row r="40" spans="1:7" x14ac:dyDescent="0.25">
      <c r="A40" s="25">
        <v>22</v>
      </c>
      <c r="B40">
        <f t="shared" si="3"/>
        <v>10</v>
      </c>
      <c r="C40">
        <f t="shared" si="4"/>
        <v>12</v>
      </c>
      <c r="D40">
        <f t="shared" si="5"/>
        <v>0</v>
      </c>
      <c r="F40" s="3">
        <f t="shared" si="6"/>
        <v>7.2199999999999986E-2</v>
      </c>
      <c r="G40" s="3">
        <f t="shared" si="7"/>
        <v>0.11261818181818181</v>
      </c>
    </row>
    <row r="41" spans="1:7" x14ac:dyDescent="0.25">
      <c r="A41" s="25">
        <v>23</v>
      </c>
      <c r="B41">
        <f t="shared" si="3"/>
        <v>10</v>
      </c>
      <c r="C41">
        <f t="shared" si="4"/>
        <v>13</v>
      </c>
      <c r="D41">
        <f t="shared" si="5"/>
        <v>0</v>
      </c>
      <c r="F41" s="3">
        <f t="shared" si="6"/>
        <v>7.1993478260869562E-2</v>
      </c>
      <c r="G41" s="3">
        <f t="shared" si="7"/>
        <v>0.11222391304347826</v>
      </c>
    </row>
    <row r="42" spans="1:7" x14ac:dyDescent="0.25">
      <c r="A42" s="25">
        <v>24</v>
      </c>
      <c r="B42">
        <f t="shared" si="3"/>
        <v>10</v>
      </c>
      <c r="C42">
        <f t="shared" si="4"/>
        <v>14</v>
      </c>
      <c r="D42">
        <f t="shared" si="5"/>
        <v>0</v>
      </c>
      <c r="F42" s="3">
        <f t="shared" si="6"/>
        <v>7.1804166666666655E-2</v>
      </c>
      <c r="G42" s="3">
        <f t="shared" si="7"/>
        <v>0.11186249999999998</v>
      </c>
    </row>
    <row r="43" spans="1:7" x14ac:dyDescent="0.25">
      <c r="A43" s="25">
        <v>25</v>
      </c>
      <c r="B43">
        <f t="shared" si="3"/>
        <v>10</v>
      </c>
      <c r="C43">
        <f t="shared" si="4"/>
        <v>15</v>
      </c>
      <c r="D43">
        <f t="shared" si="5"/>
        <v>0</v>
      </c>
      <c r="F43" s="3">
        <f t="shared" si="6"/>
        <v>7.1629999999999999E-2</v>
      </c>
      <c r="G43" s="3">
        <f t="shared" si="7"/>
        <v>0.11152999999999999</v>
      </c>
    </row>
    <row r="44" spans="1:7" x14ac:dyDescent="0.25">
      <c r="A44" s="25">
        <v>26</v>
      </c>
      <c r="B44">
        <f t="shared" si="3"/>
        <v>10</v>
      </c>
      <c r="C44">
        <f t="shared" si="4"/>
        <v>16</v>
      </c>
      <c r="D44">
        <f t="shared" si="5"/>
        <v>0</v>
      </c>
      <c r="F44" s="3">
        <f t="shared" si="6"/>
        <v>7.1469230769230757E-2</v>
      </c>
      <c r="G44" s="3">
        <f t="shared" si="7"/>
        <v>0.11122307692307692</v>
      </c>
    </row>
    <row r="45" spans="1:7" x14ac:dyDescent="0.25">
      <c r="A45" s="25">
        <v>27</v>
      </c>
      <c r="B45">
        <f t="shared" si="3"/>
        <v>10</v>
      </c>
      <c r="C45">
        <f t="shared" si="4"/>
        <v>17</v>
      </c>
      <c r="D45">
        <f t="shared" si="5"/>
        <v>0</v>
      </c>
      <c r="F45" s="3">
        <f t="shared" si="6"/>
        <v>7.1320370370370367E-2</v>
      </c>
      <c r="G45" s="3">
        <f t="shared" si="7"/>
        <v>0.11093888888888888</v>
      </c>
    </row>
    <row r="46" spans="1:7" x14ac:dyDescent="0.25">
      <c r="A46" s="25">
        <v>28</v>
      </c>
      <c r="B46">
        <f t="shared" si="3"/>
        <v>10</v>
      </c>
      <c r="C46">
        <f t="shared" si="4"/>
        <v>18</v>
      </c>
      <c r="D46">
        <f t="shared" si="5"/>
        <v>0</v>
      </c>
      <c r="F46" s="3">
        <f t="shared" si="6"/>
        <v>7.1182142857142847E-2</v>
      </c>
      <c r="G46" s="3">
        <f t="shared" si="7"/>
        <v>0.11067499999999998</v>
      </c>
    </row>
    <row r="47" spans="1:7" x14ac:dyDescent="0.25">
      <c r="A47" s="25">
        <v>29</v>
      </c>
      <c r="B47">
        <f t="shared" si="3"/>
        <v>10</v>
      </c>
      <c r="C47">
        <f t="shared" si="4"/>
        <v>19</v>
      </c>
      <c r="D47">
        <f t="shared" si="5"/>
        <v>0</v>
      </c>
      <c r="F47" s="3">
        <f t="shared" si="6"/>
        <v>7.1053448275862074E-2</v>
      </c>
      <c r="G47" s="3">
        <f t="shared" si="7"/>
        <v>0.11042931034482759</v>
      </c>
    </row>
    <row r="48" spans="1:7" x14ac:dyDescent="0.25">
      <c r="A48" s="25">
        <v>30</v>
      </c>
      <c r="B48">
        <f t="shared" si="3"/>
        <v>10</v>
      </c>
      <c r="C48">
        <f t="shared" si="4"/>
        <v>20</v>
      </c>
      <c r="D48">
        <f t="shared" si="5"/>
        <v>0</v>
      </c>
      <c r="F48" s="3">
        <f t="shared" si="6"/>
        <v>7.0933333333333334E-2</v>
      </c>
      <c r="G48" s="3">
        <f t="shared" si="7"/>
        <v>0.11019999999999999</v>
      </c>
    </row>
    <row r="49" spans="1:7" x14ac:dyDescent="0.25">
      <c r="A49" s="25">
        <v>31</v>
      </c>
      <c r="B49">
        <f t="shared" si="3"/>
        <v>10</v>
      </c>
      <c r="C49">
        <f t="shared" si="4"/>
        <v>21</v>
      </c>
      <c r="D49">
        <f t="shared" si="5"/>
        <v>0</v>
      </c>
      <c r="F49" s="3">
        <f t="shared" si="6"/>
        <v>7.0820967741935484E-2</v>
      </c>
      <c r="G49" s="3">
        <f t="shared" si="7"/>
        <v>0.10998548387096774</v>
      </c>
    </row>
    <row r="50" spans="1:7" x14ac:dyDescent="0.25">
      <c r="A50" s="25">
        <v>32</v>
      </c>
      <c r="B50">
        <f t="shared" si="3"/>
        <v>10</v>
      </c>
      <c r="C50">
        <f t="shared" si="4"/>
        <v>22</v>
      </c>
      <c r="D50">
        <f t="shared" si="5"/>
        <v>0</v>
      </c>
      <c r="F50" s="3">
        <f t="shared" si="6"/>
        <v>7.0715625000000004E-2</v>
      </c>
      <c r="G50" s="3">
        <f t="shared" si="7"/>
        <v>0.10978437499999999</v>
      </c>
    </row>
    <row r="51" spans="1:7" x14ac:dyDescent="0.25">
      <c r="A51" s="25">
        <v>33</v>
      </c>
      <c r="B51">
        <f t="shared" si="3"/>
        <v>10</v>
      </c>
      <c r="C51">
        <f t="shared" si="4"/>
        <v>23</v>
      </c>
      <c r="D51">
        <f t="shared" si="5"/>
        <v>0</v>
      </c>
      <c r="F51" s="3">
        <f t="shared" si="6"/>
        <v>7.0616666666666675E-2</v>
      </c>
      <c r="G51" s="3">
        <f t="shared" si="7"/>
        <v>0.10959545454545452</v>
      </c>
    </row>
    <row r="52" spans="1:7" x14ac:dyDescent="0.25">
      <c r="A52" s="25">
        <v>34</v>
      </c>
      <c r="B52">
        <f t="shared" si="3"/>
        <v>10</v>
      </c>
      <c r="C52">
        <f t="shared" si="4"/>
        <v>24</v>
      </c>
      <c r="D52">
        <f t="shared" si="5"/>
        <v>0</v>
      </c>
      <c r="F52" s="3">
        <f t="shared" si="6"/>
        <v>7.0523529411764693E-2</v>
      </c>
      <c r="G52" s="3">
        <f t="shared" si="7"/>
        <v>0.10941764705882352</v>
      </c>
    </row>
    <row r="53" spans="1:7" x14ac:dyDescent="0.25">
      <c r="A53" s="25">
        <v>35</v>
      </c>
      <c r="B53">
        <f t="shared" si="3"/>
        <v>10</v>
      </c>
      <c r="C53">
        <f t="shared" si="4"/>
        <v>25</v>
      </c>
      <c r="D53">
        <f t="shared" si="5"/>
        <v>0</v>
      </c>
      <c r="F53" s="3">
        <f t="shared" si="6"/>
        <v>7.0435714285714282E-2</v>
      </c>
      <c r="G53" s="3">
        <f t="shared" si="7"/>
        <v>0.10924999999999999</v>
      </c>
    </row>
    <row r="54" spans="1:7" x14ac:dyDescent="0.25">
      <c r="A54" s="25">
        <v>36</v>
      </c>
      <c r="B54">
        <f t="shared" si="3"/>
        <v>10</v>
      </c>
      <c r="C54">
        <f t="shared" si="4"/>
        <v>26</v>
      </c>
      <c r="D54">
        <f t="shared" si="5"/>
        <v>0</v>
      </c>
      <c r="F54" s="3">
        <f t="shared" si="6"/>
        <v>7.0352777777777764E-2</v>
      </c>
      <c r="G54" s="3">
        <f t="shared" si="7"/>
        <v>0.10909166666666666</v>
      </c>
    </row>
    <row r="55" spans="1:7" x14ac:dyDescent="0.25">
      <c r="A55" s="25">
        <v>37</v>
      </c>
      <c r="B55">
        <f t="shared" si="3"/>
        <v>10</v>
      </c>
      <c r="C55">
        <f t="shared" si="4"/>
        <v>27</v>
      </c>
      <c r="D55">
        <f t="shared" si="5"/>
        <v>0</v>
      </c>
      <c r="F55" s="3">
        <f t="shared" si="6"/>
        <v>7.0274324324324317E-2</v>
      </c>
      <c r="G55" s="3">
        <f t="shared" si="7"/>
        <v>0.10894189189189186</v>
      </c>
    </row>
    <row r="56" spans="1:7" x14ac:dyDescent="0.25">
      <c r="A56" s="25">
        <v>38</v>
      </c>
      <c r="B56">
        <f t="shared" si="3"/>
        <v>10</v>
      </c>
      <c r="C56">
        <f t="shared" si="4"/>
        <v>28</v>
      </c>
      <c r="D56">
        <f t="shared" si="5"/>
        <v>0</v>
      </c>
      <c r="F56" s="3">
        <f t="shared" si="6"/>
        <v>7.0199999999999999E-2</v>
      </c>
      <c r="G56" s="3">
        <f t="shared" si="7"/>
        <v>0.10879999999999998</v>
      </c>
    </row>
    <row r="57" spans="1:7" x14ac:dyDescent="0.25">
      <c r="A57" s="25">
        <v>39</v>
      </c>
      <c r="B57">
        <f t="shared" si="3"/>
        <v>10</v>
      </c>
      <c r="C57">
        <f t="shared" si="4"/>
        <v>29</v>
      </c>
      <c r="D57">
        <f t="shared" si="5"/>
        <v>0</v>
      </c>
      <c r="F57" s="3">
        <f t="shared" si="6"/>
        <v>7.0129487179487179E-2</v>
      </c>
      <c r="G57" s="3">
        <f t="shared" si="7"/>
        <v>0.10866538461538461</v>
      </c>
    </row>
    <row r="58" spans="1:7" x14ac:dyDescent="0.25">
      <c r="A58" s="25">
        <v>40</v>
      </c>
      <c r="B58">
        <f t="shared" si="3"/>
        <v>10</v>
      </c>
      <c r="C58">
        <f t="shared" si="4"/>
        <v>30</v>
      </c>
      <c r="D58">
        <f t="shared" si="5"/>
        <v>0</v>
      </c>
      <c r="F58" s="3">
        <f t="shared" si="6"/>
        <v>7.00625E-2</v>
      </c>
      <c r="G58" s="3">
        <f t="shared" si="7"/>
        <v>0.1085375</v>
      </c>
    </row>
    <row r="59" spans="1:7" x14ac:dyDescent="0.25">
      <c r="A59" s="25">
        <v>41</v>
      </c>
      <c r="B59">
        <f t="shared" si="3"/>
        <v>10</v>
      </c>
      <c r="C59">
        <f t="shared" si="4"/>
        <v>30</v>
      </c>
      <c r="D59">
        <f t="shared" si="5"/>
        <v>1</v>
      </c>
      <c r="F59" s="3">
        <f t="shared" si="6"/>
        <v>6.9697560975609751E-2</v>
      </c>
      <c r="G59" s="3">
        <f t="shared" si="7"/>
        <v>0.10841585365853659</v>
      </c>
    </row>
    <row r="60" spans="1:7" x14ac:dyDescent="0.25">
      <c r="A60" s="25">
        <v>42</v>
      </c>
      <c r="B60">
        <f t="shared" si="3"/>
        <v>10</v>
      </c>
      <c r="C60">
        <f t="shared" si="4"/>
        <v>30</v>
      </c>
      <c r="D60">
        <f t="shared" si="5"/>
        <v>2</v>
      </c>
      <c r="F60" s="3">
        <f t="shared" si="6"/>
        <v>6.9349999999999995E-2</v>
      </c>
      <c r="G60" s="3">
        <f t="shared" si="7"/>
        <v>0.10829999999999999</v>
      </c>
    </row>
    <row r="61" spans="1:7" x14ac:dyDescent="0.25">
      <c r="A61" s="25">
        <v>43</v>
      </c>
      <c r="B61">
        <f t="shared" si="3"/>
        <v>10</v>
      </c>
      <c r="C61">
        <f t="shared" si="4"/>
        <v>30</v>
      </c>
      <c r="D61">
        <f t="shared" si="5"/>
        <v>3</v>
      </c>
      <c r="F61" s="3">
        <f t="shared" si="6"/>
        <v>6.9018604651162774E-2</v>
      </c>
      <c r="G61" s="3">
        <f t="shared" si="7"/>
        <v>0.10818953488372092</v>
      </c>
    </row>
    <row r="62" spans="1:7" x14ac:dyDescent="0.25">
      <c r="A62" s="25">
        <v>44</v>
      </c>
      <c r="B62">
        <f t="shared" si="3"/>
        <v>10</v>
      </c>
      <c r="C62">
        <f t="shared" si="4"/>
        <v>30</v>
      </c>
      <c r="D62">
        <f t="shared" si="5"/>
        <v>4</v>
      </c>
      <c r="F62" s="3">
        <f t="shared" si="6"/>
        <v>6.8702272727272723E-2</v>
      </c>
      <c r="G62" s="3">
        <f t="shared" si="7"/>
        <v>0.10808409090909091</v>
      </c>
    </row>
    <row r="63" spans="1:7" x14ac:dyDescent="0.25">
      <c r="A63" s="25">
        <v>45</v>
      </c>
      <c r="B63">
        <f t="shared" si="3"/>
        <v>10</v>
      </c>
      <c r="C63">
        <f t="shared" si="4"/>
        <v>30</v>
      </c>
      <c r="D63">
        <f t="shared" si="5"/>
        <v>5</v>
      </c>
      <c r="F63" s="3">
        <f t="shared" si="6"/>
        <v>6.8400000000000002E-2</v>
      </c>
      <c r="G63" s="3">
        <f t="shared" si="7"/>
        <v>0.10798333333333332</v>
      </c>
    </row>
    <row r="64" spans="1:7" x14ac:dyDescent="0.25">
      <c r="A64" s="25">
        <v>46</v>
      </c>
      <c r="B64">
        <f t="shared" si="3"/>
        <v>10</v>
      </c>
      <c r="C64">
        <f t="shared" si="4"/>
        <v>30</v>
      </c>
      <c r="D64">
        <f t="shared" si="5"/>
        <v>6</v>
      </c>
      <c r="F64" s="3">
        <f t="shared" si="6"/>
        <v>6.8110869565217391E-2</v>
      </c>
      <c r="G64" s="3">
        <f t="shared" si="7"/>
        <v>0.10788695652173912</v>
      </c>
    </row>
    <row r="65" spans="1:7" x14ac:dyDescent="0.25">
      <c r="A65" s="25">
        <v>47</v>
      </c>
      <c r="B65">
        <f t="shared" si="3"/>
        <v>10</v>
      </c>
      <c r="C65">
        <f t="shared" si="4"/>
        <v>30</v>
      </c>
      <c r="D65">
        <f t="shared" si="5"/>
        <v>7</v>
      </c>
      <c r="F65" s="3">
        <f t="shared" si="6"/>
        <v>6.783404255319149E-2</v>
      </c>
      <c r="G65" s="3">
        <f t="shared" si="7"/>
        <v>0.10779468085106383</v>
      </c>
    </row>
    <row r="66" spans="1:7" x14ac:dyDescent="0.25">
      <c r="A66" s="25">
        <v>48</v>
      </c>
      <c r="B66">
        <f t="shared" si="3"/>
        <v>10</v>
      </c>
      <c r="C66">
        <f t="shared" si="4"/>
        <v>30</v>
      </c>
      <c r="D66">
        <f t="shared" si="5"/>
        <v>8</v>
      </c>
      <c r="F66" s="3">
        <f t="shared" si="6"/>
        <v>6.7568749999999997E-2</v>
      </c>
      <c r="G66" s="3">
        <f t="shared" si="7"/>
        <v>0.10770625</v>
      </c>
    </row>
    <row r="67" spans="1:7" x14ac:dyDescent="0.25">
      <c r="A67" s="25">
        <v>49</v>
      </c>
      <c r="B67">
        <f t="shared" si="3"/>
        <v>10</v>
      </c>
      <c r="C67">
        <f t="shared" si="4"/>
        <v>30</v>
      </c>
      <c r="D67">
        <f t="shared" si="5"/>
        <v>9</v>
      </c>
      <c r="F67" s="3">
        <f t="shared" si="6"/>
        <v>6.7314285714285715E-2</v>
      </c>
      <c r="G67" s="3">
        <f t="shared" si="7"/>
        <v>0.10762142857142856</v>
      </c>
    </row>
    <row r="68" spans="1:7" x14ac:dyDescent="0.25">
      <c r="A68" s="25">
        <v>50</v>
      </c>
      <c r="B68">
        <f t="shared" si="3"/>
        <v>10</v>
      </c>
      <c r="C68">
        <f t="shared" si="4"/>
        <v>30</v>
      </c>
      <c r="D68">
        <f t="shared" si="5"/>
        <v>10</v>
      </c>
      <c r="F68" s="3">
        <f t="shared" si="6"/>
        <v>6.7070000000000005E-2</v>
      </c>
      <c r="G68" s="3">
        <f t="shared" si="7"/>
        <v>0.10754</v>
      </c>
    </row>
    <row r="69" spans="1:7" x14ac:dyDescent="0.25">
      <c r="A69" s="25">
        <v>51</v>
      </c>
      <c r="B69">
        <f t="shared" si="3"/>
        <v>10</v>
      </c>
      <c r="C69">
        <f t="shared" si="4"/>
        <v>30</v>
      </c>
      <c r="D69">
        <f t="shared" si="5"/>
        <v>11</v>
      </c>
      <c r="F69" s="3">
        <f t="shared" si="6"/>
        <v>6.6835294117647062E-2</v>
      </c>
      <c r="G69" s="3">
        <f t="shared" si="7"/>
        <v>0.10746176470588235</v>
      </c>
    </row>
    <row r="70" spans="1:7" x14ac:dyDescent="0.25">
      <c r="A70" s="25">
        <v>52</v>
      </c>
      <c r="B70">
        <f t="shared" si="3"/>
        <v>10</v>
      </c>
      <c r="C70">
        <f t="shared" si="4"/>
        <v>30</v>
      </c>
      <c r="D70">
        <f t="shared" si="5"/>
        <v>12</v>
      </c>
      <c r="F70" s="3">
        <f t="shared" si="6"/>
        <v>6.6609615384615378E-2</v>
      </c>
      <c r="G70" s="3">
        <f t="shared" si="7"/>
        <v>0.10738653846153845</v>
      </c>
    </row>
    <row r="71" spans="1:7" x14ac:dyDescent="0.25">
      <c r="A71" s="25">
        <v>53</v>
      </c>
      <c r="B71">
        <f t="shared" si="3"/>
        <v>10</v>
      </c>
      <c r="C71">
        <f t="shared" si="4"/>
        <v>30</v>
      </c>
      <c r="D71">
        <f t="shared" si="5"/>
        <v>13</v>
      </c>
      <c r="F71" s="3">
        <f t="shared" si="6"/>
        <v>6.6392452830188672E-2</v>
      </c>
      <c r="G71" s="3">
        <f t="shared" si="7"/>
        <v>0.10731415094339622</v>
      </c>
    </row>
    <row r="72" spans="1:7" x14ac:dyDescent="0.25">
      <c r="A72" s="25">
        <v>54</v>
      </c>
      <c r="B72">
        <f t="shared" si="3"/>
        <v>10</v>
      </c>
      <c r="C72">
        <f t="shared" si="4"/>
        <v>30</v>
      </c>
      <c r="D72">
        <f t="shared" si="5"/>
        <v>14</v>
      </c>
      <c r="F72" s="3">
        <f t="shared" si="6"/>
        <v>6.618333333333333E-2</v>
      </c>
      <c r="G72" s="3">
        <f t="shared" si="7"/>
        <v>0.10724444444444445</v>
      </c>
    </row>
    <row r="73" spans="1:7" x14ac:dyDescent="0.25">
      <c r="A73" s="25">
        <v>55</v>
      </c>
      <c r="B73">
        <f t="shared" si="3"/>
        <v>10</v>
      </c>
      <c r="C73">
        <f t="shared" si="4"/>
        <v>30</v>
      </c>
      <c r="D73">
        <f t="shared" si="5"/>
        <v>15</v>
      </c>
      <c r="F73" s="3">
        <f t="shared" si="6"/>
        <v>6.5981818181818169E-2</v>
      </c>
      <c r="G73" s="3">
        <f t="shared" si="7"/>
        <v>0.10717727272727273</v>
      </c>
    </row>
    <row r="74" spans="1:7" x14ac:dyDescent="0.25">
      <c r="A74" s="25">
        <v>56</v>
      </c>
      <c r="B74">
        <f t="shared" si="3"/>
        <v>10</v>
      </c>
      <c r="C74">
        <f t="shared" si="4"/>
        <v>30</v>
      </c>
      <c r="D74">
        <f t="shared" si="5"/>
        <v>16</v>
      </c>
      <c r="F74" s="3">
        <f t="shared" si="6"/>
        <v>6.5787499999999999E-2</v>
      </c>
      <c r="G74" s="3">
        <f t="shared" si="7"/>
        <v>0.10711249999999999</v>
      </c>
    </row>
    <row r="75" spans="1:7" x14ac:dyDescent="0.25">
      <c r="A75" s="25">
        <v>57</v>
      </c>
      <c r="B75">
        <f t="shared" si="3"/>
        <v>10</v>
      </c>
      <c r="C75">
        <f t="shared" si="4"/>
        <v>30</v>
      </c>
      <c r="D75">
        <f t="shared" si="5"/>
        <v>17</v>
      </c>
      <c r="F75" s="3">
        <f t="shared" si="6"/>
        <v>6.5599999999999992E-2</v>
      </c>
      <c r="G75" s="3">
        <f t="shared" si="7"/>
        <v>0.10704999999999999</v>
      </c>
    </row>
    <row r="76" spans="1:7" x14ac:dyDescent="0.25">
      <c r="A76" s="25">
        <v>58</v>
      </c>
      <c r="B76">
        <f t="shared" si="3"/>
        <v>10</v>
      </c>
      <c r="C76">
        <f t="shared" si="4"/>
        <v>30</v>
      </c>
      <c r="D76">
        <f t="shared" si="5"/>
        <v>18</v>
      </c>
      <c r="F76" s="3">
        <f t="shared" si="6"/>
        <v>6.541896551724137E-2</v>
      </c>
      <c r="G76" s="3">
        <f t="shared" si="7"/>
        <v>0.10698965517241379</v>
      </c>
    </row>
    <row r="77" spans="1:7" x14ac:dyDescent="0.25">
      <c r="A77" s="25">
        <v>59</v>
      </c>
      <c r="B77">
        <f t="shared" si="3"/>
        <v>10</v>
      </c>
      <c r="C77">
        <f t="shared" si="4"/>
        <v>30</v>
      </c>
      <c r="D77">
        <f t="shared" si="5"/>
        <v>19</v>
      </c>
      <c r="F77" s="3">
        <f t="shared" si="6"/>
        <v>6.524406779661017E-2</v>
      </c>
      <c r="G77" s="3">
        <f t="shared" si="7"/>
        <v>0.10693135593220338</v>
      </c>
    </row>
    <row r="78" spans="1:7" x14ac:dyDescent="0.25">
      <c r="A78" s="25">
        <v>60</v>
      </c>
      <c r="B78">
        <f t="shared" si="3"/>
        <v>10</v>
      </c>
      <c r="C78">
        <f t="shared" si="4"/>
        <v>30</v>
      </c>
      <c r="D78">
        <f t="shared" si="5"/>
        <v>20</v>
      </c>
      <c r="F78" s="3">
        <f t="shared" si="6"/>
        <v>6.5074999999999994E-2</v>
      </c>
      <c r="G78" s="3">
        <f t="shared" si="7"/>
        <v>0.106875</v>
      </c>
    </row>
    <row r="79" spans="1:7" x14ac:dyDescent="0.25">
      <c r="A79" s="25">
        <v>61</v>
      </c>
      <c r="B79">
        <f t="shared" si="3"/>
        <v>10</v>
      </c>
      <c r="C79">
        <f t="shared" si="4"/>
        <v>30</v>
      </c>
      <c r="D79">
        <f t="shared" si="5"/>
        <v>21</v>
      </c>
      <c r="F79" s="3">
        <f t="shared" si="6"/>
        <v>6.4911475409836064E-2</v>
      </c>
      <c r="G79" s="3">
        <f t="shared" si="7"/>
        <v>0.10682049180327868</v>
      </c>
    </row>
    <row r="80" spans="1:7" x14ac:dyDescent="0.25">
      <c r="A80" s="25">
        <v>62</v>
      </c>
      <c r="B80">
        <f t="shared" si="3"/>
        <v>10</v>
      </c>
      <c r="C80">
        <f t="shared" si="4"/>
        <v>30</v>
      </c>
      <c r="D80">
        <f t="shared" si="5"/>
        <v>22</v>
      </c>
      <c r="F80" s="3">
        <f t="shared" si="6"/>
        <v>6.4753225806451611E-2</v>
      </c>
      <c r="G80" s="3">
        <f t="shared" si="7"/>
        <v>0.10676774193548387</v>
      </c>
    </row>
    <row r="81" spans="1:7" x14ac:dyDescent="0.25">
      <c r="A81" s="25">
        <v>63</v>
      </c>
      <c r="B81">
        <f t="shared" si="3"/>
        <v>10</v>
      </c>
      <c r="C81">
        <f t="shared" si="4"/>
        <v>30</v>
      </c>
      <c r="D81">
        <f t="shared" si="5"/>
        <v>23</v>
      </c>
      <c r="F81" s="3">
        <f t="shared" si="6"/>
        <v>6.4600000000000005E-2</v>
      </c>
      <c r="G81" s="3">
        <f t="shared" si="7"/>
        <v>0.10671666666666665</v>
      </c>
    </row>
    <row r="82" spans="1:7" x14ac:dyDescent="0.25">
      <c r="A82" s="25">
        <v>64</v>
      </c>
      <c r="B82">
        <f t="shared" si="3"/>
        <v>10</v>
      </c>
      <c r="C82">
        <f t="shared" si="4"/>
        <v>30</v>
      </c>
      <c r="D82">
        <f t="shared" si="5"/>
        <v>24</v>
      </c>
      <c r="F82" s="3">
        <f t="shared" si="6"/>
        <v>6.4451562500000004E-2</v>
      </c>
      <c r="G82" s="3">
        <f t="shared" si="7"/>
        <v>0.1066671875</v>
      </c>
    </row>
    <row r="83" spans="1:7" x14ac:dyDescent="0.25">
      <c r="A83" s="25">
        <v>65</v>
      </c>
      <c r="B83">
        <f t="shared" si="3"/>
        <v>10</v>
      </c>
      <c r="C83">
        <f t="shared" si="4"/>
        <v>30</v>
      </c>
      <c r="D83">
        <f t="shared" si="5"/>
        <v>25</v>
      </c>
      <c r="F83" s="3">
        <f t="shared" si="6"/>
        <v>6.4307692307692302E-2</v>
      </c>
      <c r="G83" s="3">
        <f t="shared" si="7"/>
        <v>0.10661923076923076</v>
      </c>
    </row>
    <row r="84" spans="1:7" x14ac:dyDescent="0.25">
      <c r="A84" s="25">
        <v>66</v>
      </c>
      <c r="B84">
        <f t="shared" ref="B84:B118" si="8">IF($A84&lt;10,$A84,10)</f>
        <v>10</v>
      </c>
      <c r="C84">
        <f t="shared" ref="C84:C118" si="9">IF($A84&lt;10,0,IF($A84&gt;40,30,$A84-10))</f>
        <v>30</v>
      </c>
      <c r="D84">
        <f t="shared" ref="D84:D118" si="10">IF(A84&lt;40,0,A84-40)</f>
        <v>26</v>
      </c>
      <c r="F84" s="3">
        <f t="shared" ref="F84:F118" si="11">(B84*B$13+C84*C$13+D84*D$13)/$A84</f>
        <v>6.4168181818181819E-2</v>
      </c>
      <c r="G84" s="3">
        <f t="shared" ref="G84:G118" si="12">(B84*B$14+C84*C$14+D84*D$14)/$A84</f>
        <v>0.10657272727272726</v>
      </c>
    </row>
    <row r="85" spans="1:7" x14ac:dyDescent="0.25">
      <c r="A85" s="25">
        <v>67</v>
      </c>
      <c r="B85">
        <f t="shared" si="8"/>
        <v>10</v>
      </c>
      <c r="C85">
        <f t="shared" si="9"/>
        <v>30</v>
      </c>
      <c r="D85">
        <f t="shared" si="10"/>
        <v>27</v>
      </c>
      <c r="F85" s="3">
        <f t="shared" si="11"/>
        <v>6.4032835820895515E-2</v>
      </c>
      <c r="G85" s="3">
        <f t="shared" si="12"/>
        <v>0.1065276119402985</v>
      </c>
    </row>
    <row r="86" spans="1:7" x14ac:dyDescent="0.25">
      <c r="A86" s="25">
        <v>68</v>
      </c>
      <c r="B86">
        <f t="shared" si="8"/>
        <v>10</v>
      </c>
      <c r="C86">
        <f t="shared" si="9"/>
        <v>30</v>
      </c>
      <c r="D86">
        <f t="shared" si="10"/>
        <v>28</v>
      </c>
      <c r="F86" s="3">
        <f t="shared" si="11"/>
        <v>6.3901470588235296E-2</v>
      </c>
      <c r="G86" s="3">
        <f t="shared" si="12"/>
        <v>0.10648382352941177</v>
      </c>
    </row>
    <row r="87" spans="1:7" x14ac:dyDescent="0.25">
      <c r="A87" s="25">
        <v>69</v>
      </c>
      <c r="B87">
        <f t="shared" si="8"/>
        <v>10</v>
      </c>
      <c r="C87">
        <f t="shared" si="9"/>
        <v>30</v>
      </c>
      <c r="D87">
        <f t="shared" si="10"/>
        <v>29</v>
      </c>
      <c r="F87" s="3">
        <f t="shared" si="11"/>
        <v>6.377391304347825E-2</v>
      </c>
      <c r="G87" s="3">
        <f t="shared" si="12"/>
        <v>0.10644130434782609</v>
      </c>
    </row>
    <row r="88" spans="1:7" x14ac:dyDescent="0.25">
      <c r="A88" s="25">
        <v>70</v>
      </c>
      <c r="B88">
        <f t="shared" si="8"/>
        <v>10</v>
      </c>
      <c r="C88">
        <f t="shared" si="9"/>
        <v>30</v>
      </c>
      <c r="D88">
        <f t="shared" si="10"/>
        <v>30</v>
      </c>
      <c r="F88" s="3">
        <f t="shared" si="11"/>
        <v>6.3649999999999998E-2</v>
      </c>
      <c r="G88" s="3">
        <f t="shared" si="12"/>
        <v>0.10639999999999999</v>
      </c>
    </row>
    <row r="89" spans="1:7" x14ac:dyDescent="0.25">
      <c r="A89" s="25">
        <v>71</v>
      </c>
      <c r="B89">
        <f t="shared" si="8"/>
        <v>10</v>
      </c>
      <c r="C89">
        <f t="shared" si="9"/>
        <v>30</v>
      </c>
      <c r="D89">
        <f t="shared" si="10"/>
        <v>31</v>
      </c>
      <c r="F89" s="3">
        <f t="shared" si="11"/>
        <v>6.3529577464788739E-2</v>
      </c>
      <c r="G89" s="3">
        <f t="shared" si="12"/>
        <v>0.10635985915492957</v>
      </c>
    </row>
    <row r="90" spans="1:7" x14ac:dyDescent="0.25">
      <c r="A90" s="25">
        <v>72</v>
      </c>
      <c r="B90">
        <f t="shared" si="8"/>
        <v>10</v>
      </c>
      <c r="C90">
        <f t="shared" si="9"/>
        <v>30</v>
      </c>
      <c r="D90">
        <f t="shared" si="10"/>
        <v>32</v>
      </c>
      <c r="F90" s="3">
        <f t="shared" si="11"/>
        <v>6.3412499999999997E-2</v>
      </c>
      <c r="G90" s="3">
        <f t="shared" si="12"/>
        <v>0.10632083333333332</v>
      </c>
    </row>
    <row r="91" spans="1:7" x14ac:dyDescent="0.25">
      <c r="A91" s="25">
        <v>73</v>
      </c>
      <c r="B91">
        <f t="shared" si="8"/>
        <v>10</v>
      </c>
      <c r="C91">
        <f t="shared" si="9"/>
        <v>30</v>
      </c>
      <c r="D91">
        <f t="shared" si="10"/>
        <v>33</v>
      </c>
      <c r="F91" s="3">
        <f t="shared" si="11"/>
        <v>6.3298630136986306E-2</v>
      </c>
      <c r="G91" s="3">
        <f t="shared" si="12"/>
        <v>0.10628287671232876</v>
      </c>
    </row>
    <row r="92" spans="1:7" x14ac:dyDescent="0.25">
      <c r="A92" s="25">
        <v>74</v>
      </c>
      <c r="B92">
        <f t="shared" si="8"/>
        <v>10</v>
      </c>
      <c r="C92">
        <f t="shared" si="9"/>
        <v>30</v>
      </c>
      <c r="D92">
        <f t="shared" si="10"/>
        <v>34</v>
      </c>
      <c r="F92" s="3">
        <f t="shared" si="11"/>
        <v>6.3187837837837837E-2</v>
      </c>
      <c r="G92" s="3">
        <f t="shared" si="12"/>
        <v>0.10624594594594594</v>
      </c>
    </row>
    <row r="93" spans="1:7" x14ac:dyDescent="0.25">
      <c r="A93" s="25">
        <v>75</v>
      </c>
      <c r="B93">
        <f t="shared" si="8"/>
        <v>10</v>
      </c>
      <c r="C93">
        <f t="shared" si="9"/>
        <v>30</v>
      </c>
      <c r="D93">
        <f t="shared" si="10"/>
        <v>35</v>
      </c>
      <c r="F93" s="3">
        <f t="shared" si="11"/>
        <v>6.3079999999999997E-2</v>
      </c>
      <c r="G93" s="3">
        <f t="shared" si="12"/>
        <v>0.10621</v>
      </c>
    </row>
    <row r="94" spans="1:7" x14ac:dyDescent="0.25">
      <c r="A94" s="25">
        <v>76</v>
      </c>
      <c r="B94">
        <f t="shared" si="8"/>
        <v>10</v>
      </c>
      <c r="C94">
        <f t="shared" si="9"/>
        <v>30</v>
      </c>
      <c r="D94">
        <f t="shared" si="10"/>
        <v>36</v>
      </c>
      <c r="F94" s="3">
        <f t="shared" si="11"/>
        <v>6.2974999999999989E-2</v>
      </c>
      <c r="G94" s="3">
        <f t="shared" si="12"/>
        <v>0.10617500000000001</v>
      </c>
    </row>
    <row r="95" spans="1:7" x14ac:dyDescent="0.25">
      <c r="A95" s="25">
        <v>77</v>
      </c>
      <c r="B95">
        <f t="shared" si="8"/>
        <v>10</v>
      </c>
      <c r="C95">
        <f t="shared" si="9"/>
        <v>30</v>
      </c>
      <c r="D95">
        <f t="shared" si="10"/>
        <v>37</v>
      </c>
      <c r="F95" s="3">
        <f t="shared" si="11"/>
        <v>6.2872727272727275E-2</v>
      </c>
      <c r="G95" s="3">
        <f t="shared" si="12"/>
        <v>0.10614090909090909</v>
      </c>
    </row>
    <row r="96" spans="1:7" x14ac:dyDescent="0.25">
      <c r="A96" s="25">
        <v>78</v>
      </c>
      <c r="B96">
        <f t="shared" si="8"/>
        <v>10</v>
      </c>
      <c r="C96">
        <f t="shared" si="9"/>
        <v>30</v>
      </c>
      <c r="D96">
        <f t="shared" si="10"/>
        <v>38</v>
      </c>
      <c r="F96" s="3">
        <f t="shared" si="11"/>
        <v>6.2773076923076918E-2</v>
      </c>
      <c r="G96" s="3">
        <f t="shared" si="12"/>
        <v>0.10610769230769229</v>
      </c>
    </row>
    <row r="97" spans="1:7" x14ac:dyDescent="0.25">
      <c r="A97" s="25">
        <v>79</v>
      </c>
      <c r="B97">
        <f t="shared" si="8"/>
        <v>10</v>
      </c>
      <c r="C97">
        <f t="shared" si="9"/>
        <v>30</v>
      </c>
      <c r="D97">
        <f t="shared" si="10"/>
        <v>39</v>
      </c>
      <c r="F97" s="3">
        <f t="shared" si="11"/>
        <v>6.2675949367088604E-2</v>
      </c>
      <c r="G97" s="3">
        <f t="shared" si="12"/>
        <v>0.10607531645569619</v>
      </c>
    </row>
    <row r="98" spans="1:7" x14ac:dyDescent="0.25">
      <c r="A98" s="25">
        <v>80</v>
      </c>
      <c r="B98">
        <f t="shared" si="8"/>
        <v>10</v>
      </c>
      <c r="C98">
        <f t="shared" si="9"/>
        <v>30</v>
      </c>
      <c r="D98">
        <f t="shared" si="10"/>
        <v>40</v>
      </c>
      <c r="F98" s="3">
        <f t="shared" si="11"/>
        <v>6.2581250000000005E-2</v>
      </c>
      <c r="G98" s="3">
        <f t="shared" si="12"/>
        <v>0.10604374999999999</v>
      </c>
    </row>
    <row r="99" spans="1:7" x14ac:dyDescent="0.25">
      <c r="A99" s="25">
        <v>81</v>
      </c>
      <c r="B99">
        <f t="shared" si="8"/>
        <v>10</v>
      </c>
      <c r="C99">
        <f t="shared" si="9"/>
        <v>30</v>
      </c>
      <c r="D99">
        <f t="shared" si="10"/>
        <v>41</v>
      </c>
      <c r="F99" s="3">
        <f t="shared" si="11"/>
        <v>6.2488888888888892E-2</v>
      </c>
      <c r="G99" s="3">
        <f t="shared" si="12"/>
        <v>0.10601296296296296</v>
      </c>
    </row>
    <row r="100" spans="1:7" x14ac:dyDescent="0.25">
      <c r="A100" s="25">
        <v>82</v>
      </c>
      <c r="B100">
        <f t="shared" si="8"/>
        <v>10</v>
      </c>
      <c r="C100">
        <f t="shared" si="9"/>
        <v>30</v>
      </c>
      <c r="D100">
        <f t="shared" si="10"/>
        <v>42</v>
      </c>
      <c r="F100" s="3">
        <f t="shared" si="11"/>
        <v>6.2398780487804874E-2</v>
      </c>
      <c r="G100" s="3">
        <f t="shared" si="12"/>
        <v>0.1059829268292683</v>
      </c>
    </row>
    <row r="101" spans="1:7" x14ac:dyDescent="0.25">
      <c r="A101" s="25">
        <v>83</v>
      </c>
      <c r="B101">
        <f t="shared" si="8"/>
        <v>10</v>
      </c>
      <c r="C101">
        <f t="shared" si="9"/>
        <v>30</v>
      </c>
      <c r="D101">
        <f t="shared" si="10"/>
        <v>43</v>
      </c>
      <c r="F101" s="3">
        <f t="shared" si="11"/>
        <v>6.231084337349397E-2</v>
      </c>
      <c r="G101" s="3">
        <f t="shared" si="12"/>
        <v>0.1059536144578313</v>
      </c>
    </row>
    <row r="102" spans="1:7" x14ac:dyDescent="0.25">
      <c r="A102" s="25">
        <v>84</v>
      </c>
      <c r="B102">
        <f t="shared" si="8"/>
        <v>10</v>
      </c>
      <c r="C102">
        <f t="shared" si="9"/>
        <v>30</v>
      </c>
      <c r="D102">
        <f t="shared" si="10"/>
        <v>44</v>
      </c>
      <c r="F102" s="3">
        <f t="shared" si="11"/>
        <v>6.2225000000000009E-2</v>
      </c>
      <c r="G102" s="3">
        <f t="shared" si="12"/>
        <v>0.10592500000000001</v>
      </c>
    </row>
    <row r="103" spans="1:7" x14ac:dyDescent="0.25">
      <c r="A103" s="25">
        <v>85</v>
      </c>
      <c r="B103">
        <f t="shared" si="8"/>
        <v>10</v>
      </c>
      <c r="C103">
        <f t="shared" si="9"/>
        <v>30</v>
      </c>
      <c r="D103">
        <f t="shared" si="10"/>
        <v>45</v>
      </c>
      <c r="F103" s="3">
        <f t="shared" si="11"/>
        <v>6.2141176470588234E-2</v>
      </c>
      <c r="G103" s="3">
        <f t="shared" si="12"/>
        <v>0.1058970588235294</v>
      </c>
    </row>
    <row r="104" spans="1:7" x14ac:dyDescent="0.25">
      <c r="A104" s="25">
        <v>86</v>
      </c>
      <c r="B104">
        <f t="shared" si="8"/>
        <v>10</v>
      </c>
      <c r="C104">
        <f t="shared" si="9"/>
        <v>30</v>
      </c>
      <c r="D104">
        <f t="shared" si="10"/>
        <v>46</v>
      </c>
      <c r="F104" s="3">
        <f t="shared" si="11"/>
        <v>6.2059302325581392E-2</v>
      </c>
      <c r="G104" s="3">
        <f t="shared" si="12"/>
        <v>0.10586976744186045</v>
      </c>
    </row>
    <row r="105" spans="1:7" x14ac:dyDescent="0.25">
      <c r="A105" s="25">
        <v>87</v>
      </c>
      <c r="B105">
        <f t="shared" si="8"/>
        <v>10</v>
      </c>
      <c r="C105">
        <f t="shared" si="9"/>
        <v>30</v>
      </c>
      <c r="D105">
        <f t="shared" si="10"/>
        <v>47</v>
      </c>
      <c r="F105" s="3">
        <f t="shared" si="11"/>
        <v>6.1979310344827586E-2</v>
      </c>
      <c r="G105" s="3">
        <f t="shared" si="12"/>
        <v>0.10584310344827585</v>
      </c>
    </row>
    <row r="106" spans="1:7" x14ac:dyDescent="0.25">
      <c r="A106" s="25">
        <v>88</v>
      </c>
      <c r="B106">
        <f t="shared" si="8"/>
        <v>10</v>
      </c>
      <c r="C106">
        <f t="shared" si="9"/>
        <v>30</v>
      </c>
      <c r="D106">
        <f t="shared" si="10"/>
        <v>48</v>
      </c>
      <c r="F106" s="3">
        <f t="shared" si="11"/>
        <v>6.1901136363636367E-2</v>
      </c>
      <c r="G106" s="3">
        <f t="shared" si="12"/>
        <v>0.10581704545454546</v>
      </c>
    </row>
    <row r="107" spans="1:7" x14ac:dyDescent="0.25">
      <c r="A107" s="25">
        <v>89</v>
      </c>
      <c r="B107">
        <f t="shared" si="8"/>
        <v>10</v>
      </c>
      <c r="C107">
        <f t="shared" si="9"/>
        <v>30</v>
      </c>
      <c r="D107">
        <f t="shared" si="10"/>
        <v>49</v>
      </c>
      <c r="F107" s="3">
        <f t="shared" si="11"/>
        <v>6.1824719101123596E-2</v>
      </c>
      <c r="G107" s="3">
        <f t="shared" si="12"/>
        <v>0.10579157303370787</v>
      </c>
    </row>
    <row r="108" spans="1:7" x14ac:dyDescent="0.25">
      <c r="A108" s="25">
        <v>90</v>
      </c>
      <c r="B108">
        <f t="shared" si="8"/>
        <v>10</v>
      </c>
      <c r="C108">
        <f t="shared" si="9"/>
        <v>30</v>
      </c>
      <c r="D108">
        <f t="shared" si="10"/>
        <v>50</v>
      </c>
      <c r="F108" s="3">
        <f t="shared" si="11"/>
        <v>6.1749999999999999E-2</v>
      </c>
      <c r="G108" s="3">
        <f t="shared" si="12"/>
        <v>0.10576666666666665</v>
      </c>
    </row>
    <row r="109" spans="1:7" x14ac:dyDescent="0.25">
      <c r="A109" s="25">
        <v>91</v>
      </c>
      <c r="B109">
        <f t="shared" si="8"/>
        <v>10</v>
      </c>
      <c r="C109">
        <f t="shared" si="9"/>
        <v>30</v>
      </c>
      <c r="D109">
        <f t="shared" si="10"/>
        <v>51</v>
      </c>
      <c r="F109" s="3">
        <f t="shared" si="11"/>
        <v>6.1676923076923081E-2</v>
      </c>
      <c r="G109" s="3">
        <f t="shared" si="12"/>
        <v>0.10574230769230769</v>
      </c>
    </row>
    <row r="110" spans="1:7" x14ac:dyDescent="0.25">
      <c r="A110" s="25">
        <v>92</v>
      </c>
      <c r="B110">
        <f t="shared" si="8"/>
        <v>10</v>
      </c>
      <c r="C110">
        <f t="shared" si="9"/>
        <v>30</v>
      </c>
      <c r="D110">
        <f t="shared" si="10"/>
        <v>52</v>
      </c>
      <c r="F110" s="3">
        <f t="shared" si="11"/>
        <v>6.1605434782608694E-2</v>
      </c>
      <c r="G110" s="3">
        <f t="shared" si="12"/>
        <v>0.10571847826086955</v>
      </c>
    </row>
    <row r="111" spans="1:7" x14ac:dyDescent="0.25">
      <c r="A111" s="25">
        <v>93</v>
      </c>
      <c r="B111">
        <f t="shared" si="8"/>
        <v>10</v>
      </c>
      <c r="C111">
        <f t="shared" si="9"/>
        <v>30</v>
      </c>
      <c r="D111">
        <f t="shared" si="10"/>
        <v>53</v>
      </c>
      <c r="F111" s="3">
        <f t="shared" si="11"/>
        <v>6.1535483870967737E-2</v>
      </c>
      <c r="G111" s="3">
        <f t="shared" si="12"/>
        <v>0.10569516129032257</v>
      </c>
    </row>
    <row r="112" spans="1:7" x14ac:dyDescent="0.25">
      <c r="A112" s="25">
        <v>94</v>
      </c>
      <c r="B112">
        <f t="shared" si="8"/>
        <v>10</v>
      </c>
      <c r="C112">
        <f t="shared" si="9"/>
        <v>30</v>
      </c>
      <c r="D112">
        <f t="shared" si="10"/>
        <v>54</v>
      </c>
      <c r="F112" s="3">
        <f t="shared" si="11"/>
        <v>6.1467021276595743E-2</v>
      </c>
      <c r="G112" s="3">
        <f t="shared" si="12"/>
        <v>0.1056723404255319</v>
      </c>
    </row>
    <row r="113" spans="1:7" x14ac:dyDescent="0.25">
      <c r="A113" s="25">
        <v>95</v>
      </c>
      <c r="B113">
        <f t="shared" si="8"/>
        <v>10</v>
      </c>
      <c r="C113">
        <f t="shared" si="9"/>
        <v>30</v>
      </c>
      <c r="D113">
        <f t="shared" si="10"/>
        <v>55</v>
      </c>
      <c r="F113" s="3">
        <f t="shared" si="11"/>
        <v>6.1400000000000003E-2</v>
      </c>
      <c r="G113" s="3">
        <f t="shared" si="12"/>
        <v>0.10564999999999999</v>
      </c>
    </row>
    <row r="114" spans="1:7" x14ac:dyDescent="0.25">
      <c r="A114" s="25">
        <v>96</v>
      </c>
      <c r="B114">
        <f t="shared" si="8"/>
        <v>10</v>
      </c>
      <c r="C114">
        <f t="shared" si="9"/>
        <v>30</v>
      </c>
      <c r="D114">
        <f t="shared" si="10"/>
        <v>56</v>
      </c>
      <c r="F114" s="3">
        <f t="shared" si="11"/>
        <v>6.1334374999999997E-2</v>
      </c>
      <c r="G114" s="3">
        <f t="shared" si="12"/>
        <v>0.105628125</v>
      </c>
    </row>
    <row r="115" spans="1:7" x14ac:dyDescent="0.25">
      <c r="A115" s="25">
        <v>97</v>
      </c>
      <c r="B115">
        <f t="shared" si="8"/>
        <v>10</v>
      </c>
      <c r="C115">
        <f t="shared" si="9"/>
        <v>30</v>
      </c>
      <c r="D115">
        <f t="shared" si="10"/>
        <v>57</v>
      </c>
      <c r="F115" s="3">
        <f t="shared" si="11"/>
        <v>6.1270103092783502E-2</v>
      </c>
      <c r="G115" s="3">
        <f t="shared" si="12"/>
        <v>0.10560670103092781</v>
      </c>
    </row>
    <row r="116" spans="1:7" x14ac:dyDescent="0.25">
      <c r="A116" s="25">
        <v>98</v>
      </c>
      <c r="B116">
        <f t="shared" si="8"/>
        <v>10</v>
      </c>
      <c r="C116">
        <f t="shared" si="9"/>
        <v>30</v>
      </c>
      <c r="D116">
        <f t="shared" si="10"/>
        <v>58</v>
      </c>
      <c r="F116" s="3">
        <f t="shared" si="11"/>
        <v>6.1207142857142863E-2</v>
      </c>
      <c r="G116" s="3">
        <f t="shared" si="12"/>
        <v>0.10558571428571428</v>
      </c>
    </row>
    <row r="117" spans="1:7" x14ac:dyDescent="0.25">
      <c r="A117" s="25">
        <v>99</v>
      </c>
      <c r="B117">
        <f t="shared" si="8"/>
        <v>10</v>
      </c>
      <c r="C117">
        <f t="shared" si="9"/>
        <v>30</v>
      </c>
      <c r="D117">
        <f t="shared" si="10"/>
        <v>59</v>
      </c>
      <c r="F117" s="3">
        <f t="shared" si="11"/>
        <v>6.1145454545454545E-2</v>
      </c>
      <c r="G117" s="3">
        <f t="shared" si="12"/>
        <v>0.1055651515151515</v>
      </c>
    </row>
    <row r="118" spans="1:7" x14ac:dyDescent="0.25">
      <c r="A118" s="25">
        <v>100</v>
      </c>
      <c r="B118">
        <f t="shared" si="8"/>
        <v>10</v>
      </c>
      <c r="C118">
        <f t="shared" si="9"/>
        <v>30</v>
      </c>
      <c r="D118">
        <f t="shared" si="10"/>
        <v>60</v>
      </c>
      <c r="F118" s="3">
        <f t="shared" si="11"/>
        <v>6.1084999999999993E-2</v>
      </c>
      <c r="G118" s="3">
        <f t="shared" si="12"/>
        <v>0.10554499999999999</v>
      </c>
    </row>
    <row r="119" spans="1:7" x14ac:dyDescent="0.25">
      <c r="A119" s="25">
        <v>101</v>
      </c>
      <c r="F119" s="3" t="s">
        <v>35</v>
      </c>
      <c r="G119" s="3" t="s">
        <v>35</v>
      </c>
    </row>
  </sheetData>
  <hyperlinks>
    <hyperlink ref="G5" r:id="rId1" display="https://www.solarwirtschaft.de/datawall/uploads/2023/01/bsw_verguetungssaetze_aktuell.pdf" xr:uid="{FDF05803-4D2A-4CB2-8AFF-3A675B1C6F59}"/>
    <hyperlink ref="G6" r:id="rId2" display="https://www.solarwirtschaft.de/datawall/uploads/2023/01/bsw_verguetungssaetze_aktuell.pdf" xr:uid="{33E50394-E74C-4B84-AE94-ABBE8F34131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BE21-44AA-4BE0-9890-A70CB72F5A13}">
  <dimension ref="A1:H25"/>
  <sheetViews>
    <sheetView workbookViewId="0">
      <selection activeCell="D31" sqref="D31"/>
    </sheetView>
  </sheetViews>
  <sheetFormatPr defaultRowHeight="15" x14ac:dyDescent="0.25"/>
  <cols>
    <col min="1" max="1" width="20.140625" customWidth="1"/>
    <col min="2" max="2" width="12.7109375" customWidth="1"/>
    <col min="6" max="7" width="16.140625" customWidth="1"/>
    <col min="8" max="8" width="14.5703125" customWidth="1"/>
  </cols>
  <sheetData>
    <row r="1" spans="1:8" x14ac:dyDescent="0.25">
      <c r="A1" t="s">
        <v>72</v>
      </c>
    </row>
    <row r="3" spans="1:8" x14ac:dyDescent="0.25">
      <c r="A3" s="50" t="s">
        <v>62</v>
      </c>
      <c r="B3" s="50"/>
      <c r="C3" s="50"/>
      <c r="E3" s="51" t="s">
        <v>63</v>
      </c>
      <c r="F3" s="52"/>
      <c r="G3" s="52"/>
      <c r="H3" s="52"/>
    </row>
    <row r="4" spans="1:8" x14ac:dyDescent="0.25">
      <c r="A4" t="s">
        <v>64</v>
      </c>
      <c r="B4" s="53">
        <v>10000</v>
      </c>
      <c r="E4" s="54" t="s">
        <v>65</v>
      </c>
      <c r="F4" s="55" t="s">
        <v>66</v>
      </c>
      <c r="G4" s="56" t="s">
        <v>67</v>
      </c>
      <c r="H4" s="56" t="s">
        <v>68</v>
      </c>
    </row>
    <row r="5" spans="1:8" x14ac:dyDescent="0.25">
      <c r="A5" t="s">
        <v>3</v>
      </c>
      <c r="B5">
        <v>10</v>
      </c>
      <c r="C5" t="s">
        <v>1</v>
      </c>
      <c r="E5" s="57">
        <v>1</v>
      </c>
      <c r="F5" s="35">
        <f>B4</f>
        <v>10000</v>
      </c>
      <c r="G5" s="35">
        <f>B$9*F5</f>
        <v>775.46895328061998</v>
      </c>
      <c r="H5" s="35">
        <f>-$B$8</f>
        <v>-1000</v>
      </c>
    </row>
    <row r="6" spans="1:8" x14ac:dyDescent="0.25">
      <c r="B6" s="53"/>
      <c r="C6" s="2"/>
      <c r="E6" s="57">
        <v>2</v>
      </c>
      <c r="F6" s="35">
        <f t="shared" ref="F6:F25" si="0">F5+H5+G5</f>
        <v>9775.4689532806206</v>
      </c>
      <c r="G6" s="35">
        <f t="shared" ref="G6:G24" si="1">B$9*F6</f>
        <v>758.05726770277204</v>
      </c>
      <c r="H6" s="35">
        <f t="shared" ref="H6:H24" si="2">-$B$8</f>
        <v>-1000</v>
      </c>
    </row>
    <row r="7" spans="1:8" x14ac:dyDescent="0.25">
      <c r="A7" s="50" t="s">
        <v>69</v>
      </c>
      <c r="B7" s="50"/>
      <c r="C7" s="50"/>
      <c r="E7" s="57">
        <v>3</v>
      </c>
      <c r="F7" s="35">
        <f>F6+H6+G6</f>
        <v>9533.5262209833927</v>
      </c>
      <c r="G7" s="35">
        <f t="shared" si="1"/>
        <v>739.29535996593359</v>
      </c>
      <c r="H7" s="35">
        <f t="shared" si="2"/>
        <v>-1000</v>
      </c>
    </row>
    <row r="8" spans="1:8" x14ac:dyDescent="0.25">
      <c r="A8" t="s">
        <v>70</v>
      </c>
      <c r="B8" s="35">
        <f>B4/B5</f>
        <v>1000</v>
      </c>
      <c r="C8" s="58"/>
      <c r="E8" s="57">
        <v>4</v>
      </c>
      <c r="F8" s="35">
        <f t="shared" si="0"/>
        <v>9272.8215809493267</v>
      </c>
      <c r="G8" s="35">
        <f t="shared" si="1"/>
        <v>719.07852453367184</v>
      </c>
      <c r="H8" s="35">
        <f t="shared" si="2"/>
        <v>-1000</v>
      </c>
    </row>
    <row r="9" spans="1:8" x14ac:dyDescent="0.25">
      <c r="A9" t="s">
        <v>67</v>
      </c>
      <c r="B9" s="59">
        <v>7.7546895328061999E-2</v>
      </c>
      <c r="E9" s="57">
        <v>5</v>
      </c>
      <c r="F9" s="35">
        <f t="shared" si="0"/>
        <v>8991.9001054829987</v>
      </c>
      <c r="G9" s="35">
        <f t="shared" si="1"/>
        <v>697.29393628027969</v>
      </c>
      <c r="H9" s="35">
        <f t="shared" si="2"/>
        <v>-1000</v>
      </c>
    </row>
    <row r="10" spans="1:8" x14ac:dyDescent="0.25">
      <c r="E10" s="57">
        <v>6</v>
      </c>
      <c r="F10" s="35">
        <f t="shared" si="0"/>
        <v>8689.1940417632777</v>
      </c>
      <c r="G10" s="35">
        <f t="shared" si="1"/>
        <v>673.82002084183682</v>
      </c>
      <c r="H10" s="35">
        <f t="shared" si="2"/>
        <v>-1000</v>
      </c>
    </row>
    <row r="11" spans="1:8" x14ac:dyDescent="0.25">
      <c r="E11" s="57">
        <v>7</v>
      </c>
      <c r="F11" s="35">
        <f t="shared" si="0"/>
        <v>8363.0140626051143</v>
      </c>
      <c r="G11" s="35">
        <f t="shared" si="1"/>
        <v>648.52577613994936</v>
      </c>
      <c r="H11" s="35">
        <f t="shared" si="2"/>
        <v>-1000</v>
      </c>
    </row>
    <row r="12" spans="1:8" x14ac:dyDescent="0.25">
      <c r="E12" s="57">
        <v>8</v>
      </c>
      <c r="F12" s="35">
        <f t="shared" si="0"/>
        <v>8011.5398387450641</v>
      </c>
      <c r="G12" s="35">
        <f t="shared" si="1"/>
        <v>621.27004129176214</v>
      </c>
      <c r="H12" s="35">
        <f t="shared" si="2"/>
        <v>-1000</v>
      </c>
    </row>
    <row r="13" spans="1:8" x14ac:dyDescent="0.25">
      <c r="B13" s="35"/>
      <c r="E13" s="57">
        <v>9</v>
      </c>
      <c r="F13" s="35">
        <f t="shared" si="0"/>
        <v>7632.8098800368261</v>
      </c>
      <c r="G13" s="35">
        <f t="shared" si="1"/>
        <v>591.90070882621319</v>
      </c>
      <c r="H13" s="35">
        <f t="shared" si="2"/>
        <v>-1000</v>
      </c>
    </row>
    <row r="14" spans="1:8" x14ac:dyDescent="0.25">
      <c r="E14" s="57">
        <v>10</v>
      </c>
      <c r="F14" s="35">
        <f t="shared" si="0"/>
        <v>7224.7105888630394</v>
      </c>
      <c r="G14" s="35">
        <f t="shared" si="1"/>
        <v>560.2538758101033</v>
      </c>
      <c r="H14" s="35">
        <f t="shared" si="2"/>
        <v>-1000</v>
      </c>
    </row>
    <row r="15" spans="1:8" x14ac:dyDescent="0.25">
      <c r="B15" s="35"/>
      <c r="E15" s="57">
        <v>11</v>
      </c>
      <c r="F15" s="35">
        <f t="shared" si="0"/>
        <v>6784.9644646731431</v>
      </c>
      <c r="G15" s="35">
        <f t="shared" si="1"/>
        <v>526.15292914662848</v>
      </c>
      <c r="H15" s="35">
        <f t="shared" si="2"/>
        <v>-1000</v>
      </c>
    </row>
    <row r="16" spans="1:8" x14ac:dyDescent="0.25">
      <c r="C16" s="2"/>
      <c r="E16" s="57">
        <v>12</v>
      </c>
      <c r="F16" s="35">
        <f t="shared" si="0"/>
        <v>6311.1173938197717</v>
      </c>
      <c r="G16" s="35">
        <f t="shared" si="1"/>
        <v>489.40755994165329</v>
      </c>
      <c r="H16" s="35">
        <f t="shared" si="2"/>
        <v>-1000</v>
      </c>
    </row>
    <row r="17" spans="2:8" x14ac:dyDescent="0.25">
      <c r="E17" s="57">
        <v>13</v>
      </c>
      <c r="F17" s="35">
        <f t="shared" si="0"/>
        <v>5800.5249537614254</v>
      </c>
      <c r="G17" s="35">
        <f t="shared" si="1"/>
        <v>449.81270143714892</v>
      </c>
      <c r="H17" s="35">
        <f t="shared" si="2"/>
        <v>-1000</v>
      </c>
    </row>
    <row r="18" spans="2:8" x14ac:dyDescent="0.25">
      <c r="E18" s="57">
        <v>14</v>
      </c>
      <c r="F18" s="35">
        <f t="shared" si="0"/>
        <v>5250.3376551985748</v>
      </c>
      <c r="G18" s="35">
        <f t="shared" si="1"/>
        <v>407.14738458466633</v>
      </c>
      <c r="H18" s="35">
        <f t="shared" si="2"/>
        <v>-1000</v>
      </c>
    </row>
    <row r="19" spans="2:8" x14ac:dyDescent="0.25">
      <c r="B19" s="60"/>
      <c r="E19" s="57">
        <v>15</v>
      </c>
      <c r="F19" s="35">
        <f t="shared" si="0"/>
        <v>4657.4850397832415</v>
      </c>
      <c r="G19" s="35">
        <f t="shared" si="1"/>
        <v>361.17350487208569</v>
      </c>
      <c r="H19" s="35">
        <f t="shared" si="2"/>
        <v>-1000</v>
      </c>
    </row>
    <row r="20" spans="2:8" x14ac:dyDescent="0.25">
      <c r="B20" s="61"/>
      <c r="E20" s="57">
        <v>16</v>
      </c>
      <c r="F20" s="35">
        <f t="shared" si="0"/>
        <v>4018.6585446553272</v>
      </c>
      <c r="G20" s="35">
        <f t="shared" si="1"/>
        <v>311.63449352160865</v>
      </c>
      <c r="H20" s="35">
        <f t="shared" si="2"/>
        <v>-1000</v>
      </c>
    </row>
    <row r="21" spans="2:8" x14ac:dyDescent="0.25">
      <c r="E21" s="57">
        <v>17</v>
      </c>
      <c r="F21" s="35">
        <f t="shared" si="0"/>
        <v>3330.2930381769356</v>
      </c>
      <c r="G21" s="35">
        <f t="shared" si="1"/>
        <v>258.2538856432804</v>
      </c>
      <c r="H21" s="35">
        <f t="shared" si="2"/>
        <v>-1000</v>
      </c>
    </row>
    <row r="22" spans="2:8" x14ac:dyDescent="0.25">
      <c r="E22" s="57">
        <v>18</v>
      </c>
      <c r="F22" s="35">
        <f t="shared" si="0"/>
        <v>2588.5469238202159</v>
      </c>
      <c r="G22" s="35">
        <f t="shared" si="1"/>
        <v>200.73377735326315</v>
      </c>
      <c r="H22" s="35">
        <f t="shared" si="2"/>
        <v>-1000</v>
      </c>
    </row>
    <row r="23" spans="2:8" x14ac:dyDescent="0.25">
      <c r="E23" s="57">
        <v>19</v>
      </c>
      <c r="F23" s="35">
        <f t="shared" si="0"/>
        <v>1789.280701173479</v>
      </c>
      <c r="G23" s="35">
        <f t="shared" si="1"/>
        <v>138.75316324642117</v>
      </c>
      <c r="H23" s="35">
        <f t="shared" si="2"/>
        <v>-1000</v>
      </c>
    </row>
    <row r="24" spans="2:8" x14ac:dyDescent="0.25">
      <c r="E24" s="57">
        <v>20</v>
      </c>
      <c r="F24" s="35">
        <f t="shared" si="0"/>
        <v>928.03386441990017</v>
      </c>
      <c r="G24" s="35">
        <f t="shared" si="1"/>
        <v>71.966144945066873</v>
      </c>
      <c r="H24" s="35">
        <f t="shared" si="2"/>
        <v>-1000</v>
      </c>
    </row>
    <row r="25" spans="2:8" x14ac:dyDescent="0.25">
      <c r="E25" s="57">
        <v>21</v>
      </c>
      <c r="F25" s="62">
        <f t="shared" si="0"/>
        <v>9.3649670418471942E-6</v>
      </c>
      <c r="G25" s="35"/>
      <c r="H25" s="3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376A-A417-42F8-A7E6-F4B55C36AD19}">
  <dimension ref="A2:G41"/>
  <sheetViews>
    <sheetView workbookViewId="0">
      <selection activeCell="A20" sqref="A20"/>
    </sheetView>
  </sheetViews>
  <sheetFormatPr defaultRowHeight="15" x14ac:dyDescent="0.25"/>
  <cols>
    <col min="1" max="1" width="23.28515625" customWidth="1"/>
    <col min="2" max="2" width="11" bestFit="1" customWidth="1"/>
    <col min="3" max="3" width="5.5703125" customWidth="1"/>
    <col min="5" max="7" width="12.5703125" style="60" customWidth="1"/>
  </cols>
  <sheetData>
    <row r="2" spans="1:7" x14ac:dyDescent="0.25">
      <c r="A2" s="67" t="s">
        <v>62</v>
      </c>
      <c r="B2" s="67"/>
      <c r="D2" s="67" t="s">
        <v>83</v>
      </c>
      <c r="E2" s="68"/>
      <c r="F2" s="68"/>
      <c r="G2" s="68"/>
    </row>
    <row r="3" spans="1:7" x14ac:dyDescent="0.25">
      <c r="A3" t="s">
        <v>82</v>
      </c>
      <c r="B3" s="53">
        <v>2914</v>
      </c>
      <c r="D3" t="s">
        <v>65</v>
      </c>
      <c r="E3" s="60" t="s">
        <v>84</v>
      </c>
      <c r="F3" s="60" t="s">
        <v>79</v>
      </c>
      <c r="G3" s="60" t="s">
        <v>85</v>
      </c>
    </row>
    <row r="4" spans="1:7" x14ac:dyDescent="0.25">
      <c r="A4" t="s">
        <v>79</v>
      </c>
      <c r="B4" s="66">
        <v>7.0000000000000007E-2</v>
      </c>
      <c r="D4">
        <v>0</v>
      </c>
      <c r="E4" s="60">
        <f>B3</f>
        <v>2914</v>
      </c>
      <c r="F4" s="60">
        <f t="shared" ref="F4:F41" si="0">B$4*E4</f>
        <v>203.98000000000002</v>
      </c>
      <c r="G4" s="60">
        <f>B$8</f>
        <v>404.40000000000003</v>
      </c>
    </row>
    <row r="5" spans="1:7" x14ac:dyDescent="0.25">
      <c r="A5" t="s">
        <v>87</v>
      </c>
      <c r="B5" s="60">
        <v>33.700000000000003</v>
      </c>
      <c r="D5">
        <v>1</v>
      </c>
      <c r="E5" s="60">
        <f>E4+F4-G4</f>
        <v>2713.58</v>
      </c>
      <c r="F5" s="60">
        <f t="shared" si="0"/>
        <v>189.95060000000001</v>
      </c>
      <c r="G5" s="60">
        <f t="shared" ref="G5:G7" si="1">B$8</f>
        <v>404.40000000000003</v>
      </c>
    </row>
    <row r="6" spans="1:7" x14ac:dyDescent="0.25">
      <c r="D6">
        <v>2</v>
      </c>
      <c r="E6" s="60">
        <f t="shared" ref="E6:E7" si="2">E5+F5-G5</f>
        <v>2499.1306</v>
      </c>
      <c r="F6" s="60">
        <f t="shared" si="0"/>
        <v>174.939142</v>
      </c>
      <c r="G6" s="60">
        <f t="shared" si="1"/>
        <v>404.40000000000003</v>
      </c>
    </row>
    <row r="7" spans="1:7" x14ac:dyDescent="0.25">
      <c r="A7" s="67" t="s">
        <v>69</v>
      </c>
      <c r="B7" s="67"/>
      <c r="D7">
        <v>3</v>
      </c>
      <c r="E7" s="60">
        <f t="shared" si="2"/>
        <v>2269.669742</v>
      </c>
      <c r="F7" s="60">
        <f t="shared" si="0"/>
        <v>158.87688194</v>
      </c>
      <c r="G7" s="60">
        <f t="shared" si="1"/>
        <v>404.40000000000003</v>
      </c>
    </row>
    <row r="8" spans="1:7" x14ac:dyDescent="0.25">
      <c r="A8" t="s">
        <v>86</v>
      </c>
      <c r="B8" s="35">
        <f>B5*12</f>
        <v>404.40000000000003</v>
      </c>
      <c r="D8">
        <v>4</v>
      </c>
      <c r="E8" s="60">
        <f t="shared" ref="E8:E41" si="3">E7+F7-G7</f>
        <v>2024.1466239400002</v>
      </c>
      <c r="F8" s="60">
        <f t="shared" si="0"/>
        <v>141.69026367580003</v>
      </c>
      <c r="G8" s="60">
        <f t="shared" ref="G8:G41" si="4">B$8</f>
        <v>404.40000000000003</v>
      </c>
    </row>
    <row r="9" spans="1:7" x14ac:dyDescent="0.25">
      <c r="A9" t="s">
        <v>88</v>
      </c>
      <c r="B9" s="69">
        <f>NPER(B4,B5*12,-B3,0,0)</f>
        <v>10.375455885551959</v>
      </c>
      <c r="D9">
        <v>5</v>
      </c>
      <c r="E9" s="60">
        <f t="shared" si="3"/>
        <v>1761.4368876158001</v>
      </c>
      <c r="F9" s="60">
        <f t="shared" si="0"/>
        <v>123.30058213310602</v>
      </c>
      <c r="G9" s="60">
        <f t="shared" si="4"/>
        <v>404.40000000000003</v>
      </c>
    </row>
    <row r="10" spans="1:7" x14ac:dyDescent="0.25">
      <c r="D10">
        <v>6</v>
      </c>
      <c r="E10" s="60">
        <f t="shared" si="3"/>
        <v>1480.337469748906</v>
      </c>
      <c r="F10" s="60">
        <f t="shared" si="0"/>
        <v>103.62362288242343</v>
      </c>
      <c r="G10" s="60">
        <f t="shared" si="4"/>
        <v>404.40000000000003</v>
      </c>
    </row>
    <row r="11" spans="1:7" x14ac:dyDescent="0.25">
      <c r="D11">
        <v>7</v>
      </c>
      <c r="E11" s="60">
        <f t="shared" si="3"/>
        <v>1179.5610926313293</v>
      </c>
      <c r="F11" s="60">
        <f t="shared" si="0"/>
        <v>82.569276484193054</v>
      </c>
      <c r="G11" s="60">
        <f t="shared" si="4"/>
        <v>404.40000000000003</v>
      </c>
    </row>
    <row r="12" spans="1:7" x14ac:dyDescent="0.25">
      <c r="D12">
        <v>8</v>
      </c>
      <c r="E12" s="60">
        <f t="shared" si="3"/>
        <v>857.73036911552231</v>
      </c>
      <c r="F12" s="60">
        <f t="shared" si="0"/>
        <v>60.041125838086565</v>
      </c>
      <c r="G12" s="60">
        <f t="shared" si="4"/>
        <v>404.40000000000003</v>
      </c>
    </row>
    <row r="13" spans="1:7" x14ac:dyDescent="0.25">
      <c r="D13">
        <v>9</v>
      </c>
      <c r="E13" s="60">
        <f t="shared" si="3"/>
        <v>513.37149495360882</v>
      </c>
      <c r="F13" s="60">
        <f t="shared" si="0"/>
        <v>35.936004646752622</v>
      </c>
      <c r="G13" s="60">
        <f t="shared" si="4"/>
        <v>404.40000000000003</v>
      </c>
    </row>
    <row r="14" spans="1:7" x14ac:dyDescent="0.25">
      <c r="D14">
        <v>10</v>
      </c>
      <c r="E14" s="60">
        <f t="shared" si="3"/>
        <v>144.9074996003614</v>
      </c>
      <c r="F14" s="60">
        <f t="shared" si="0"/>
        <v>10.143524972025299</v>
      </c>
      <c r="G14" s="60">
        <f t="shared" si="4"/>
        <v>404.40000000000003</v>
      </c>
    </row>
    <row r="15" spans="1:7" x14ac:dyDescent="0.25">
      <c r="D15">
        <v>11</v>
      </c>
      <c r="E15" s="60">
        <f t="shared" si="3"/>
        <v>-249.34897542761334</v>
      </c>
      <c r="F15" s="60">
        <f t="shared" si="0"/>
        <v>-17.454428279932934</v>
      </c>
      <c r="G15" s="60">
        <f t="shared" si="4"/>
        <v>404.40000000000003</v>
      </c>
    </row>
    <row r="16" spans="1:7" x14ac:dyDescent="0.25">
      <c r="D16">
        <v>12</v>
      </c>
      <c r="E16" s="60">
        <f t="shared" si="3"/>
        <v>-671.20340370754639</v>
      </c>
      <c r="F16" s="60">
        <f t="shared" si="0"/>
        <v>-46.984238259528254</v>
      </c>
      <c r="G16" s="60">
        <f t="shared" si="4"/>
        <v>404.40000000000003</v>
      </c>
    </row>
    <row r="17" spans="4:7" x14ac:dyDescent="0.25">
      <c r="D17">
        <v>13</v>
      </c>
      <c r="E17" s="60">
        <f t="shared" si="3"/>
        <v>-1122.5876419670747</v>
      </c>
      <c r="F17" s="60">
        <f t="shared" si="0"/>
        <v>-78.581134937695239</v>
      </c>
      <c r="G17" s="60">
        <f t="shared" si="4"/>
        <v>404.40000000000003</v>
      </c>
    </row>
    <row r="18" spans="4:7" x14ac:dyDescent="0.25">
      <c r="D18">
        <v>14</v>
      </c>
      <c r="E18" s="60">
        <f t="shared" si="3"/>
        <v>-1605.5687769047699</v>
      </c>
      <c r="F18" s="60">
        <f t="shared" si="0"/>
        <v>-112.38981438333391</v>
      </c>
      <c r="G18" s="60">
        <f t="shared" si="4"/>
        <v>404.40000000000003</v>
      </c>
    </row>
    <row r="19" spans="4:7" x14ac:dyDescent="0.25">
      <c r="D19">
        <v>15</v>
      </c>
      <c r="E19" s="60">
        <f t="shared" si="3"/>
        <v>-2122.358591288104</v>
      </c>
      <c r="F19" s="60">
        <f t="shared" si="0"/>
        <v>-148.56510139016729</v>
      </c>
      <c r="G19" s="60">
        <f t="shared" si="4"/>
        <v>404.40000000000003</v>
      </c>
    </row>
    <row r="20" spans="4:7" x14ac:dyDescent="0.25">
      <c r="D20">
        <v>16</v>
      </c>
      <c r="E20" s="60">
        <f t="shared" si="3"/>
        <v>-2675.3236926782715</v>
      </c>
      <c r="F20" s="60">
        <f t="shared" si="0"/>
        <v>-187.27265848747902</v>
      </c>
      <c r="G20" s="60">
        <f t="shared" si="4"/>
        <v>404.40000000000003</v>
      </c>
    </row>
    <row r="21" spans="4:7" x14ac:dyDescent="0.25">
      <c r="D21">
        <v>17</v>
      </c>
      <c r="E21" s="60">
        <f t="shared" si="3"/>
        <v>-3266.9963511657506</v>
      </c>
      <c r="F21" s="60">
        <f t="shared" si="0"/>
        <v>-228.68974458160255</v>
      </c>
      <c r="G21" s="60">
        <f t="shared" si="4"/>
        <v>404.40000000000003</v>
      </c>
    </row>
    <row r="22" spans="4:7" x14ac:dyDescent="0.25">
      <c r="D22">
        <v>18</v>
      </c>
      <c r="E22" s="60">
        <f t="shared" si="3"/>
        <v>-3900.0860957473533</v>
      </c>
      <c r="F22" s="60">
        <f t="shared" si="0"/>
        <v>-273.00602670231473</v>
      </c>
      <c r="G22" s="60">
        <f t="shared" si="4"/>
        <v>404.40000000000003</v>
      </c>
    </row>
    <row r="23" spans="4:7" x14ac:dyDescent="0.25">
      <c r="D23">
        <v>19</v>
      </c>
      <c r="E23" s="60">
        <f t="shared" si="3"/>
        <v>-4577.4921224496675</v>
      </c>
      <c r="F23" s="60">
        <f t="shared" si="0"/>
        <v>-320.42444857147677</v>
      </c>
      <c r="G23" s="60">
        <f t="shared" si="4"/>
        <v>404.40000000000003</v>
      </c>
    </row>
    <row r="24" spans="4:7" x14ac:dyDescent="0.25">
      <c r="D24">
        <v>20</v>
      </c>
      <c r="E24" s="60">
        <f t="shared" si="3"/>
        <v>-5302.3165710211442</v>
      </c>
      <c r="F24" s="60">
        <f t="shared" si="0"/>
        <v>-371.16215997148015</v>
      </c>
      <c r="G24" s="60">
        <f t="shared" si="4"/>
        <v>404.40000000000003</v>
      </c>
    </row>
    <row r="25" spans="4:7" x14ac:dyDescent="0.25">
      <c r="D25">
        <v>21</v>
      </c>
      <c r="E25" s="60">
        <f t="shared" si="3"/>
        <v>-6077.8787309926238</v>
      </c>
      <c r="F25" s="60">
        <f t="shared" si="0"/>
        <v>-425.45151116948369</v>
      </c>
      <c r="G25" s="60">
        <f t="shared" si="4"/>
        <v>404.40000000000003</v>
      </c>
    </row>
    <row r="26" spans="4:7" x14ac:dyDescent="0.25">
      <c r="D26">
        <v>22</v>
      </c>
      <c r="E26" s="60">
        <f t="shared" si="3"/>
        <v>-6907.7302421621071</v>
      </c>
      <c r="F26" s="60">
        <f t="shared" si="0"/>
        <v>-483.54111695134753</v>
      </c>
      <c r="G26" s="60">
        <f t="shared" si="4"/>
        <v>404.40000000000003</v>
      </c>
    </row>
    <row r="27" spans="4:7" x14ac:dyDescent="0.25">
      <c r="D27">
        <v>23</v>
      </c>
      <c r="E27" s="60">
        <f t="shared" si="3"/>
        <v>-7795.6713591134539</v>
      </c>
      <c r="F27" s="60">
        <f t="shared" si="0"/>
        <v>-545.69699513794183</v>
      </c>
      <c r="G27" s="60">
        <f t="shared" si="4"/>
        <v>404.40000000000003</v>
      </c>
    </row>
    <row r="28" spans="4:7" x14ac:dyDescent="0.25">
      <c r="D28">
        <v>24</v>
      </c>
      <c r="E28" s="60">
        <f t="shared" si="3"/>
        <v>-8745.7683542513951</v>
      </c>
      <c r="F28" s="60">
        <f t="shared" si="0"/>
        <v>-612.20378479759768</v>
      </c>
      <c r="G28" s="60">
        <f t="shared" si="4"/>
        <v>404.40000000000003</v>
      </c>
    </row>
    <row r="29" spans="4:7" x14ac:dyDescent="0.25">
      <c r="D29">
        <v>25</v>
      </c>
      <c r="E29" s="60">
        <f t="shared" si="3"/>
        <v>-9762.3721390489918</v>
      </c>
      <c r="F29" s="60">
        <f t="shared" si="0"/>
        <v>-683.36604973342946</v>
      </c>
      <c r="G29" s="60">
        <f t="shared" si="4"/>
        <v>404.40000000000003</v>
      </c>
    </row>
    <row r="30" spans="4:7" x14ac:dyDescent="0.25">
      <c r="D30">
        <v>26</v>
      </c>
      <c r="E30" s="60">
        <f t="shared" si="3"/>
        <v>-10850.138188782421</v>
      </c>
      <c r="F30" s="60">
        <f t="shared" si="0"/>
        <v>-759.50967321476958</v>
      </c>
      <c r="G30" s="60">
        <f t="shared" si="4"/>
        <v>404.40000000000003</v>
      </c>
    </row>
    <row r="31" spans="4:7" x14ac:dyDescent="0.25">
      <c r="D31">
        <v>27</v>
      </c>
      <c r="E31" s="60">
        <f t="shared" si="3"/>
        <v>-12014.047861997191</v>
      </c>
      <c r="F31" s="60">
        <f t="shared" si="0"/>
        <v>-840.98335033980345</v>
      </c>
      <c r="G31" s="60">
        <f t="shared" si="4"/>
        <v>404.40000000000003</v>
      </c>
    </row>
    <row r="32" spans="4:7" x14ac:dyDescent="0.25">
      <c r="D32">
        <v>28</v>
      </c>
      <c r="E32" s="60">
        <f t="shared" si="3"/>
        <v>-13259.431212336995</v>
      </c>
      <c r="F32" s="60">
        <f t="shared" si="0"/>
        <v>-928.16018486358973</v>
      </c>
      <c r="G32" s="60">
        <f t="shared" si="4"/>
        <v>404.40000000000003</v>
      </c>
    </row>
    <row r="33" spans="4:7" x14ac:dyDescent="0.25">
      <c r="D33">
        <v>29</v>
      </c>
      <c r="E33" s="60">
        <f t="shared" si="3"/>
        <v>-14591.991397200583</v>
      </c>
      <c r="F33" s="60">
        <f t="shared" si="0"/>
        <v>-1021.4393978040409</v>
      </c>
      <c r="G33" s="60">
        <f t="shared" si="4"/>
        <v>404.40000000000003</v>
      </c>
    </row>
    <row r="34" spans="4:7" x14ac:dyDescent="0.25">
      <c r="D34">
        <v>30</v>
      </c>
      <c r="E34" s="60">
        <f t="shared" si="3"/>
        <v>-16017.830795004624</v>
      </c>
      <c r="F34" s="60">
        <f t="shared" si="0"/>
        <v>-1121.2481556503237</v>
      </c>
      <c r="G34" s="60">
        <f t="shared" si="4"/>
        <v>404.40000000000003</v>
      </c>
    </row>
    <row r="35" spans="4:7" x14ac:dyDescent="0.25">
      <c r="D35">
        <v>31</v>
      </c>
      <c r="E35" s="60">
        <f t="shared" si="3"/>
        <v>-17543.47895065495</v>
      </c>
      <c r="F35" s="60">
        <f t="shared" si="0"/>
        <v>-1228.0435265458466</v>
      </c>
      <c r="G35" s="60">
        <f t="shared" si="4"/>
        <v>404.40000000000003</v>
      </c>
    </row>
    <row r="36" spans="4:7" x14ac:dyDescent="0.25">
      <c r="D36">
        <v>32</v>
      </c>
      <c r="E36" s="60">
        <f t="shared" si="3"/>
        <v>-19175.922477200798</v>
      </c>
      <c r="F36" s="60">
        <f t="shared" si="0"/>
        <v>-1342.3145734040561</v>
      </c>
      <c r="G36" s="60">
        <f t="shared" si="4"/>
        <v>404.40000000000003</v>
      </c>
    </row>
    <row r="37" spans="4:7" x14ac:dyDescent="0.25">
      <c r="D37">
        <v>33</v>
      </c>
      <c r="E37" s="60">
        <f t="shared" si="3"/>
        <v>-20922.637050604855</v>
      </c>
      <c r="F37" s="60">
        <f t="shared" si="0"/>
        <v>-1464.5845935423399</v>
      </c>
      <c r="G37" s="60">
        <f t="shared" si="4"/>
        <v>404.40000000000003</v>
      </c>
    </row>
    <row r="38" spans="4:7" x14ac:dyDescent="0.25">
      <c r="D38">
        <v>34</v>
      </c>
      <c r="E38" s="60">
        <f t="shared" si="3"/>
        <v>-22791.621644147195</v>
      </c>
      <c r="F38" s="60">
        <f t="shared" si="0"/>
        <v>-1595.4135150903039</v>
      </c>
      <c r="G38" s="60">
        <f t="shared" si="4"/>
        <v>404.40000000000003</v>
      </c>
    </row>
    <row r="39" spans="4:7" x14ac:dyDescent="0.25">
      <c r="D39">
        <v>35</v>
      </c>
      <c r="E39" s="60">
        <f t="shared" si="3"/>
        <v>-24791.435159237502</v>
      </c>
      <c r="F39" s="60">
        <f t="shared" si="0"/>
        <v>-1735.4004611466253</v>
      </c>
      <c r="G39" s="60">
        <f t="shared" si="4"/>
        <v>404.40000000000003</v>
      </c>
    </row>
    <row r="40" spans="4:7" x14ac:dyDescent="0.25">
      <c r="D40">
        <v>36</v>
      </c>
      <c r="E40" s="60">
        <f t="shared" si="3"/>
        <v>-26931.23562038413</v>
      </c>
      <c r="F40" s="60">
        <f t="shared" si="0"/>
        <v>-1885.1864934268892</v>
      </c>
      <c r="G40" s="60">
        <f t="shared" si="4"/>
        <v>404.40000000000003</v>
      </c>
    </row>
    <row r="41" spans="4:7" x14ac:dyDescent="0.25">
      <c r="D41">
        <v>37</v>
      </c>
      <c r="E41" s="60">
        <f t="shared" si="3"/>
        <v>-29220.82211381102</v>
      </c>
      <c r="F41" s="60">
        <f t="shared" si="0"/>
        <v>-2045.4575479667717</v>
      </c>
      <c r="G41" s="60">
        <f t="shared" si="4"/>
        <v>404.40000000000003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C4D6-ECA5-47BD-A1EE-695EFC78DE1B}">
  <dimension ref="B2:B8"/>
  <sheetViews>
    <sheetView workbookViewId="0">
      <selection activeCell="B9" sqref="B9"/>
    </sheetView>
  </sheetViews>
  <sheetFormatPr defaultRowHeight="15" x14ac:dyDescent="0.25"/>
  <cols>
    <col min="2" max="2" width="11" customWidth="1"/>
  </cols>
  <sheetData>
    <row r="2" spans="2:2" x14ac:dyDescent="0.25">
      <c r="B2" t="s">
        <v>173</v>
      </c>
    </row>
    <row r="3" spans="2:2" x14ac:dyDescent="0.25">
      <c r="B3" t="s">
        <v>171</v>
      </c>
    </row>
    <row r="4" spans="2:2" x14ac:dyDescent="0.25">
      <c r="B4" t="s">
        <v>168</v>
      </c>
    </row>
    <row r="5" spans="2:2" x14ac:dyDescent="0.25">
      <c r="B5" t="s">
        <v>169</v>
      </c>
    </row>
    <row r="6" spans="2:2" x14ac:dyDescent="0.25">
      <c r="B6" t="s">
        <v>172</v>
      </c>
    </row>
    <row r="7" spans="2:2" x14ac:dyDescent="0.25">
      <c r="B7" t="s">
        <v>170</v>
      </c>
    </row>
    <row r="8" spans="2:2" x14ac:dyDescent="0.25">
      <c r="B8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Eingaben &amp; Berechnung</vt:lpstr>
      <vt:lpstr>Hinweise</vt:lpstr>
      <vt:lpstr>Ausgabeblatt</vt:lpstr>
      <vt:lpstr>Direktverbrauchsquote</vt:lpstr>
      <vt:lpstr>Einspeisevergütung</vt:lpstr>
      <vt:lpstr>Rendite</vt:lpstr>
      <vt:lpstr>Tilgung</vt:lpstr>
      <vt:lpstr>Betriebsmodelle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Rivoir</dc:creator>
  <cp:lastModifiedBy>Jochen Rivoir</cp:lastModifiedBy>
  <cp:lastPrinted>2025-07-09T10:46:21Z</cp:lastPrinted>
  <dcterms:created xsi:type="dcterms:W3CDTF">2015-06-05T18:17:20Z</dcterms:created>
  <dcterms:modified xsi:type="dcterms:W3CDTF">2026-08-10T09:39:57Z</dcterms:modified>
</cp:coreProperties>
</file>