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jrivo\Documents\PV\Leitfaden\"/>
    </mc:Choice>
  </mc:AlternateContent>
  <xr:revisionPtr revIDLastSave="0" documentId="13_ncr:1_{7249088C-E289-4CC5-A145-C0D691E6261C}" xr6:coauthVersionLast="47" xr6:coauthVersionMax="47" xr10:uidLastSave="{00000000-0000-0000-0000-000000000000}"/>
  <bookViews>
    <workbookView xWindow="-120" yWindow="-120" windowWidth="29040" windowHeight="15720" tabRatio="646" xr2:uid="{00000000-000D-0000-FFFF-FFFF00000000}"/>
  </bookViews>
  <sheets>
    <sheet name="Rendite Matrix" sheetId="10" r:id="rId1"/>
    <sheet name="Eingaben &amp; Berechnung" sheetId="2" r:id="rId2"/>
    <sheet name="Hinweise" sheetId="3" r:id="rId3"/>
    <sheet name="Direktverbrauchsquote" sheetId="7" r:id="rId4"/>
    <sheet name="Einspeisevergütung" sheetId="4" r:id="rId5"/>
    <sheet name="Betriebsmodelle" sheetId="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" i="2" l="1"/>
  <c r="P14" i="2"/>
  <c r="AG68" i="2"/>
  <c r="AG65" i="2"/>
  <c r="AF65" i="2"/>
  <c r="AE65" i="2"/>
  <c r="AD65" i="2"/>
  <c r="AC65" i="2"/>
  <c r="AG63" i="2" a="1"/>
  <c r="AG63" i="2" s="1"/>
  <c r="AF63" i="2" a="1"/>
  <c r="AF63" i="2" s="1"/>
  <c r="AE63" i="2" a="1"/>
  <c r="AE63" i="2" s="1"/>
  <c r="AD63" i="2" a="1"/>
  <c r="AD63" i="2" s="1"/>
  <c r="AC63" i="2" a="1"/>
  <c r="AC63" i="2" s="1"/>
  <c r="AG53" i="2"/>
  <c r="AG53" i="2" a="1"/>
  <c r="AF53" i="2" a="1"/>
  <c r="AF53" i="2" s="1"/>
  <c r="AE53" i="2" a="1"/>
  <c r="AE53" i="2" s="1"/>
  <c r="AE54" i="2" s="1" a="1"/>
  <c r="AE54" i="2" s="1"/>
  <c r="AD53" i="2" a="1"/>
  <c r="AD53" i="2" s="1"/>
  <c r="AC53" i="2"/>
  <c r="AC54" i="2" s="1" a="1"/>
  <c r="AC54" i="2" s="1"/>
  <c r="AC53" i="2" a="1"/>
  <c r="AG52" i="2"/>
  <c r="AG54" i="2" s="1" a="1"/>
  <c r="AG54" i="2" s="1"/>
  <c r="AF52" i="2"/>
  <c r="AE52" i="2"/>
  <c r="AD52" i="2"/>
  <c r="AC52" i="2"/>
  <c r="AG35" i="2"/>
  <c r="AF35" i="2"/>
  <c r="AE35" i="2"/>
  <c r="AD35" i="2"/>
  <c r="AC35" i="2"/>
  <c r="AG29" i="2"/>
  <c r="AF29" i="2"/>
  <c r="AE29" i="2"/>
  <c r="AD29" i="2"/>
  <c r="AC29" i="2"/>
  <c r="AG20" i="2"/>
  <c r="AG20" i="2" a="1"/>
  <c r="AF20" i="2" a="1"/>
  <c r="AF20" i="2" s="1"/>
  <c r="AE20" i="2" a="1"/>
  <c r="AE20" i="2" s="1"/>
  <c r="AD20" i="2" a="1"/>
  <c r="AD20" i="2" s="1"/>
  <c r="AC20" i="2"/>
  <c r="AC68" i="2" s="1"/>
  <c r="AC20" i="2" a="1"/>
  <c r="AG18" i="2"/>
  <c r="AF18" i="2"/>
  <c r="AE18" i="2"/>
  <c r="AD18" i="2"/>
  <c r="AC18" i="2"/>
  <c r="AG17" i="2"/>
  <c r="AF17" i="2"/>
  <c r="AE17" i="2"/>
  <c r="AD17" i="2"/>
  <c r="AC17" i="2"/>
  <c r="AA65" i="2"/>
  <c r="Z65" i="2"/>
  <c r="Y65" i="2"/>
  <c r="X65" i="2"/>
  <c r="W65" i="2"/>
  <c r="AA63" i="2" a="1"/>
  <c r="AA63" i="2" s="1"/>
  <c r="Z63" i="2" a="1"/>
  <c r="Z63" i="2" s="1"/>
  <c r="Y63" i="2" a="1"/>
  <c r="Y63" i="2" s="1"/>
  <c r="X63" i="2" a="1"/>
  <c r="X63" i="2" s="1"/>
  <c r="W63" i="2" a="1"/>
  <c r="W63" i="2" s="1"/>
  <c r="AA53" i="2" a="1"/>
  <c r="AA53" i="2" s="1"/>
  <c r="Z53" i="2" a="1"/>
  <c r="Z53" i="2" s="1"/>
  <c r="Y53" i="2" a="1"/>
  <c r="Y53" i="2" s="1"/>
  <c r="Y54" i="2" s="1" a="1"/>
  <c r="Y54" i="2" s="1"/>
  <c r="X53" i="2" a="1"/>
  <c r="X53" i="2" s="1"/>
  <c r="W53" i="2" a="1"/>
  <c r="W53" i="2" s="1"/>
  <c r="W54" i="2" s="1" a="1"/>
  <c r="W54" i="2" s="1"/>
  <c r="AA52" i="2"/>
  <c r="Z52" i="2"/>
  <c r="Y52" i="2"/>
  <c r="X52" i="2"/>
  <c r="X54" i="2" s="1" a="1"/>
  <c r="X54" i="2" s="1"/>
  <c r="W52" i="2"/>
  <c r="AA35" i="2"/>
  <c r="Z35" i="2"/>
  <c r="Y35" i="2"/>
  <c r="X35" i="2"/>
  <c r="W35" i="2"/>
  <c r="AA29" i="2"/>
  <c r="Z29" i="2"/>
  <c r="Y29" i="2"/>
  <c r="X29" i="2"/>
  <c r="W29" i="2"/>
  <c r="AA20" i="2" a="1"/>
  <c r="AA20" i="2" s="1"/>
  <c r="Z20" i="2" a="1"/>
  <c r="Z20" i="2" s="1"/>
  <c r="Y20" i="2" a="1"/>
  <c r="Y20" i="2" s="1"/>
  <c r="X20" i="2" a="1"/>
  <c r="X20" i="2" s="1"/>
  <c r="W20" i="2" a="1"/>
  <c r="W20" i="2" s="1"/>
  <c r="AA18" i="2"/>
  <c r="Z18" i="2"/>
  <c r="Y18" i="2"/>
  <c r="X18" i="2"/>
  <c r="W18" i="2"/>
  <c r="AA17" i="2"/>
  <c r="Z17" i="2"/>
  <c r="Y17" i="2"/>
  <c r="X17" i="2"/>
  <c r="W17" i="2"/>
  <c r="U65" i="2"/>
  <c r="T65" i="2"/>
  <c r="S65" i="2"/>
  <c r="R65" i="2"/>
  <c r="Q65" i="2"/>
  <c r="U63" i="2" a="1"/>
  <c r="U63" i="2" s="1"/>
  <c r="T63" i="2" a="1"/>
  <c r="T63" i="2" s="1"/>
  <c r="S63" i="2" a="1"/>
  <c r="S63" i="2" s="1"/>
  <c r="R63" i="2" a="1"/>
  <c r="R63" i="2" s="1"/>
  <c r="Q63" i="2" a="1"/>
  <c r="Q63" i="2" s="1"/>
  <c r="U53" i="2" a="1"/>
  <c r="U53" i="2" s="1"/>
  <c r="T53" i="2" a="1"/>
  <c r="T53" i="2" s="1"/>
  <c r="S53" i="2" a="1"/>
  <c r="S53" i="2" s="1"/>
  <c r="R53" i="2" a="1"/>
  <c r="R53" i="2" s="1"/>
  <c r="Q53" i="2" a="1"/>
  <c r="Q53" i="2" s="1"/>
  <c r="U52" i="2"/>
  <c r="T52" i="2"/>
  <c r="S52" i="2"/>
  <c r="R52" i="2"/>
  <c r="Q52" i="2"/>
  <c r="U35" i="2"/>
  <c r="T35" i="2"/>
  <c r="S35" i="2"/>
  <c r="R35" i="2"/>
  <c r="Q35" i="2"/>
  <c r="U29" i="2"/>
  <c r="T29" i="2"/>
  <c r="S29" i="2"/>
  <c r="R29" i="2"/>
  <c r="Q29" i="2"/>
  <c r="U20" i="2" a="1"/>
  <c r="U20" i="2" s="1"/>
  <c r="T20" i="2" a="1"/>
  <c r="T20" i="2" s="1"/>
  <c r="S20" i="2" a="1"/>
  <c r="S20" i="2" s="1"/>
  <c r="R20" i="2" a="1"/>
  <c r="R20" i="2" s="1"/>
  <c r="Q20" i="2" a="1"/>
  <c r="Q20" i="2" s="1"/>
  <c r="U18" i="2"/>
  <c r="T18" i="2"/>
  <c r="S18" i="2"/>
  <c r="R18" i="2"/>
  <c r="Q18" i="2"/>
  <c r="U17" i="2"/>
  <c r="T17" i="2"/>
  <c r="S17" i="2"/>
  <c r="R17" i="2"/>
  <c r="Q17" i="2"/>
  <c r="O65" i="2"/>
  <c r="N65" i="2"/>
  <c r="M65" i="2"/>
  <c r="L65" i="2"/>
  <c r="K65" i="2"/>
  <c r="O63" i="2" a="1"/>
  <c r="O63" i="2" s="1"/>
  <c r="N63" i="2" a="1"/>
  <c r="N63" i="2" s="1"/>
  <c r="M63" i="2" a="1"/>
  <c r="M63" i="2" s="1"/>
  <c r="L63" i="2" a="1"/>
  <c r="L63" i="2" s="1"/>
  <c r="K63" i="2" a="1"/>
  <c r="K63" i="2" s="1"/>
  <c r="O53" i="2" a="1"/>
  <c r="O53" i="2" s="1"/>
  <c r="N53" i="2" a="1"/>
  <c r="N53" i="2" s="1"/>
  <c r="M53" i="2" a="1"/>
  <c r="M53" i="2" s="1"/>
  <c r="L53" i="2" a="1"/>
  <c r="L53" i="2" s="1"/>
  <c r="K53" i="2" a="1"/>
  <c r="K53" i="2" s="1"/>
  <c r="O52" i="2"/>
  <c r="N52" i="2"/>
  <c r="M52" i="2"/>
  <c r="L52" i="2"/>
  <c r="K52" i="2"/>
  <c r="O35" i="2"/>
  <c r="N35" i="2"/>
  <c r="M35" i="2"/>
  <c r="L35" i="2"/>
  <c r="K35" i="2"/>
  <c r="O29" i="2"/>
  <c r="N29" i="2"/>
  <c r="M29" i="2"/>
  <c r="L29" i="2"/>
  <c r="K29" i="2"/>
  <c r="O20" i="2" a="1"/>
  <c r="O20" i="2" s="1"/>
  <c r="N20" i="2" a="1"/>
  <c r="N20" i="2" s="1"/>
  <c r="M20" i="2" a="1"/>
  <c r="M20" i="2" s="1"/>
  <c r="L20" i="2" a="1"/>
  <c r="L20" i="2" s="1"/>
  <c r="L68" i="2" s="1"/>
  <c r="K20" i="2" a="1"/>
  <c r="K20" i="2" s="1"/>
  <c r="O18" i="2"/>
  <c r="N18" i="2"/>
  <c r="M18" i="2"/>
  <c r="L18" i="2"/>
  <c r="K18" i="2"/>
  <c r="O17" i="2"/>
  <c r="N17" i="2"/>
  <c r="M17" i="2"/>
  <c r="L17" i="2"/>
  <c r="K17" i="2"/>
  <c r="I65" i="2"/>
  <c r="H65" i="2"/>
  <c r="G65" i="2"/>
  <c r="F65" i="2"/>
  <c r="I63" i="2" a="1"/>
  <c r="I63" i="2" s="1"/>
  <c r="H63" i="2" a="1"/>
  <c r="H63" i="2" s="1"/>
  <c r="G63" i="2" a="1"/>
  <c r="G63" i="2" s="1"/>
  <c r="F63" i="2" a="1"/>
  <c r="F63" i="2" s="1"/>
  <c r="I53" i="2" a="1"/>
  <c r="I53" i="2" s="1"/>
  <c r="H53" i="2" a="1"/>
  <c r="H53" i="2" s="1"/>
  <c r="G53" i="2" a="1"/>
  <c r="G53" i="2" s="1"/>
  <c r="F53" i="2" a="1"/>
  <c r="F53" i="2" s="1"/>
  <c r="I52" i="2"/>
  <c r="H52" i="2"/>
  <c r="G52" i="2"/>
  <c r="F52" i="2"/>
  <c r="I35" i="2"/>
  <c r="H35" i="2"/>
  <c r="G35" i="2"/>
  <c r="F35" i="2"/>
  <c r="I29" i="2"/>
  <c r="H29" i="2"/>
  <c r="G29" i="2"/>
  <c r="F29" i="2"/>
  <c r="I20" i="2" a="1"/>
  <c r="I20" i="2" s="1"/>
  <c r="H20" i="2" a="1"/>
  <c r="H20" i="2" s="1"/>
  <c r="G20" i="2" a="1"/>
  <c r="G20" i="2" s="1"/>
  <c r="F20" i="2" a="1"/>
  <c r="F20" i="2" s="1"/>
  <c r="I18" i="2"/>
  <c r="H18" i="2"/>
  <c r="G18" i="2"/>
  <c r="F18" i="2"/>
  <c r="I17" i="2"/>
  <c r="H17" i="2"/>
  <c r="G17" i="2"/>
  <c r="F17" i="2"/>
  <c r="AE68" i="2" l="1"/>
  <c r="AF68" i="2"/>
  <c r="AD54" i="2" a="1"/>
  <c r="AD54" i="2" s="1"/>
  <c r="AF54" i="2" a="1"/>
  <c r="AF54" i="2" s="1"/>
  <c r="AD68" i="2"/>
  <c r="S54" i="2" a="1"/>
  <c r="S54" i="2" s="1"/>
  <c r="U54" i="2" a="1"/>
  <c r="U54" i="2" s="1"/>
  <c r="Z68" i="2"/>
  <c r="Z54" i="2" a="1"/>
  <c r="Z54" i="2" s="1"/>
  <c r="W68" i="2"/>
  <c r="AA54" i="2" a="1"/>
  <c r="AA54" i="2" s="1"/>
  <c r="AA68" i="2"/>
  <c r="X68" i="2"/>
  <c r="Y68" i="2"/>
  <c r="R54" i="2" a="1"/>
  <c r="R54" i="2" s="1"/>
  <c r="Q54" i="2" a="1"/>
  <c r="Q54" i="2" s="1"/>
  <c r="Q68" i="2"/>
  <c r="R68" i="2"/>
  <c r="T54" i="2" a="1"/>
  <c r="T54" i="2" s="1"/>
  <c r="T68" i="2"/>
  <c r="U68" i="2"/>
  <c r="I54" i="2" a="1"/>
  <c r="I54" i="2" s="1"/>
  <c r="S68" i="2"/>
  <c r="L54" i="2" a="1"/>
  <c r="L54" i="2" s="1"/>
  <c r="M54" i="2" a="1"/>
  <c r="M54" i="2" s="1"/>
  <c r="O54" i="2" a="1"/>
  <c r="O54" i="2" s="1"/>
  <c r="N54" i="2" a="1"/>
  <c r="N54" i="2" s="1"/>
  <c r="O68" i="2"/>
  <c r="N68" i="2"/>
  <c r="K68" i="2"/>
  <c r="K54" i="2" a="1"/>
  <c r="K54" i="2" s="1"/>
  <c r="M68" i="2"/>
  <c r="F54" i="2" a="1"/>
  <c r="F54" i="2" s="1"/>
  <c r="G54" i="2" a="1"/>
  <c r="G54" i="2" s="1"/>
  <c r="H54" i="2" a="1"/>
  <c r="H54" i="2" s="1"/>
  <c r="I68" i="2"/>
  <c r="F68" i="2"/>
  <c r="H68" i="2"/>
  <c r="G68" i="2"/>
  <c r="E63" i="2" a="1"/>
  <c r="E63" i="2" s="1"/>
  <c r="E53" i="2" a="1"/>
  <c r="E53" i="2" s="1"/>
  <c r="E52" i="2"/>
  <c r="E54" i="2" l="1" a="1"/>
  <c r="E54" i="2" s="1"/>
  <c r="E20" i="2" l="1" a="1"/>
  <c r="E20" i="2" s="1"/>
  <c r="E17" i="2"/>
  <c r="E18" i="2"/>
  <c r="E29" i="2"/>
  <c r="E35" i="2"/>
  <c r="E65" i="2"/>
  <c r="E68" i="2" l="1"/>
  <c r="C101" i="2"/>
  <c r="D6" i="4" l="1"/>
  <c r="C6" i="4"/>
  <c r="B6" i="4"/>
  <c r="D5" i="4"/>
  <c r="C5" i="4"/>
  <c r="B5" i="4"/>
  <c r="C8" i="4"/>
  <c r="A12" i="4" l="1"/>
  <c r="C9" i="4"/>
  <c r="C14" i="4" l="1"/>
  <c r="D14" i="4"/>
  <c r="B14" i="4"/>
  <c r="B13" i="4"/>
  <c r="D13" i="4"/>
  <c r="C13" i="4"/>
  <c r="B20" i="4" l="1"/>
  <c r="C20" i="4"/>
  <c r="D20" i="4"/>
  <c r="B21" i="4"/>
  <c r="C21" i="4"/>
  <c r="D21" i="4"/>
  <c r="B22" i="4"/>
  <c r="C22" i="4"/>
  <c r="D22" i="4"/>
  <c r="B23" i="4"/>
  <c r="C23" i="4"/>
  <c r="D23" i="4"/>
  <c r="G23" i="4" s="1"/>
  <c r="B24" i="4"/>
  <c r="C24" i="4"/>
  <c r="D24" i="4"/>
  <c r="B25" i="4"/>
  <c r="C25" i="4"/>
  <c r="D25" i="4"/>
  <c r="B26" i="4"/>
  <c r="C26" i="4"/>
  <c r="D26" i="4"/>
  <c r="B27" i="4"/>
  <c r="C27" i="4"/>
  <c r="D27" i="4"/>
  <c r="B28" i="4"/>
  <c r="C28" i="4"/>
  <c r="D28" i="4"/>
  <c r="B29" i="4"/>
  <c r="C29" i="4"/>
  <c r="D29" i="4"/>
  <c r="B30" i="4"/>
  <c r="C30" i="4"/>
  <c r="D30" i="4"/>
  <c r="B31" i="4"/>
  <c r="C31" i="4"/>
  <c r="D31" i="4"/>
  <c r="G31" i="4" s="1"/>
  <c r="B32" i="4"/>
  <c r="C32" i="4"/>
  <c r="D32" i="4"/>
  <c r="B33" i="4"/>
  <c r="C33" i="4"/>
  <c r="D33" i="4"/>
  <c r="B34" i="4"/>
  <c r="C34" i="4"/>
  <c r="D34" i="4"/>
  <c r="B35" i="4"/>
  <c r="C35" i="4"/>
  <c r="D35" i="4"/>
  <c r="B36" i="4"/>
  <c r="C36" i="4"/>
  <c r="D36" i="4"/>
  <c r="B37" i="4"/>
  <c r="C37" i="4"/>
  <c r="D37" i="4"/>
  <c r="B38" i="4"/>
  <c r="C38" i="4"/>
  <c r="D38" i="4"/>
  <c r="B39" i="4"/>
  <c r="C39" i="4"/>
  <c r="D39" i="4"/>
  <c r="G39" i="4" s="1"/>
  <c r="B40" i="4"/>
  <c r="C40" i="4"/>
  <c r="D40" i="4"/>
  <c r="B41" i="4"/>
  <c r="C41" i="4"/>
  <c r="D41" i="4"/>
  <c r="B42" i="4"/>
  <c r="C42" i="4"/>
  <c r="D42" i="4"/>
  <c r="B43" i="4"/>
  <c r="C43" i="4"/>
  <c r="D43" i="4"/>
  <c r="B44" i="4"/>
  <c r="C44" i="4"/>
  <c r="D44" i="4"/>
  <c r="B45" i="4"/>
  <c r="C45" i="4"/>
  <c r="D45" i="4"/>
  <c r="B46" i="4"/>
  <c r="C46" i="4"/>
  <c r="D46" i="4"/>
  <c r="B47" i="4"/>
  <c r="C47" i="4"/>
  <c r="D47" i="4"/>
  <c r="G47" i="4" s="1"/>
  <c r="B48" i="4"/>
  <c r="C48" i="4"/>
  <c r="D48" i="4"/>
  <c r="B49" i="4"/>
  <c r="C49" i="4"/>
  <c r="D49" i="4"/>
  <c r="B50" i="4"/>
  <c r="C50" i="4"/>
  <c r="D50" i="4"/>
  <c r="B51" i="4"/>
  <c r="C51" i="4"/>
  <c r="D51" i="4"/>
  <c r="B52" i="4"/>
  <c r="C52" i="4"/>
  <c r="D52" i="4"/>
  <c r="B53" i="4"/>
  <c r="C53" i="4"/>
  <c r="D53" i="4"/>
  <c r="B54" i="4"/>
  <c r="C54" i="4"/>
  <c r="D54" i="4"/>
  <c r="B55" i="4"/>
  <c r="C55" i="4"/>
  <c r="D55" i="4"/>
  <c r="G55" i="4" s="1"/>
  <c r="B56" i="4"/>
  <c r="C56" i="4"/>
  <c r="D56" i="4"/>
  <c r="B57" i="4"/>
  <c r="C57" i="4"/>
  <c r="D57" i="4"/>
  <c r="B58" i="4"/>
  <c r="C58" i="4"/>
  <c r="D58" i="4"/>
  <c r="B59" i="4"/>
  <c r="C59" i="4"/>
  <c r="D59" i="4"/>
  <c r="B60" i="4"/>
  <c r="C60" i="4"/>
  <c r="D60" i="4"/>
  <c r="B61" i="4"/>
  <c r="C61" i="4"/>
  <c r="D61" i="4"/>
  <c r="B62" i="4"/>
  <c r="C62" i="4"/>
  <c r="D62" i="4"/>
  <c r="B63" i="4"/>
  <c r="C63" i="4"/>
  <c r="D63" i="4"/>
  <c r="G63" i="4" s="1"/>
  <c r="B64" i="4"/>
  <c r="C64" i="4"/>
  <c r="D64" i="4"/>
  <c r="B65" i="4"/>
  <c r="C65" i="4"/>
  <c r="D65" i="4"/>
  <c r="B66" i="4"/>
  <c r="C66" i="4"/>
  <c r="D66" i="4"/>
  <c r="B67" i="4"/>
  <c r="C67" i="4"/>
  <c r="D67" i="4"/>
  <c r="B68" i="4"/>
  <c r="C68" i="4"/>
  <c r="D68" i="4"/>
  <c r="B69" i="4"/>
  <c r="C69" i="4"/>
  <c r="D69" i="4"/>
  <c r="B70" i="4"/>
  <c r="C70" i="4"/>
  <c r="D70" i="4"/>
  <c r="B71" i="4"/>
  <c r="C71" i="4"/>
  <c r="D71" i="4"/>
  <c r="G71" i="4" s="1"/>
  <c r="B72" i="4"/>
  <c r="C72" i="4"/>
  <c r="D72" i="4"/>
  <c r="B73" i="4"/>
  <c r="C73" i="4"/>
  <c r="D73" i="4"/>
  <c r="B74" i="4"/>
  <c r="C74" i="4"/>
  <c r="D74" i="4"/>
  <c r="B75" i="4"/>
  <c r="C75" i="4"/>
  <c r="D75" i="4"/>
  <c r="B76" i="4"/>
  <c r="C76" i="4"/>
  <c r="D76" i="4"/>
  <c r="B77" i="4"/>
  <c r="C77" i="4"/>
  <c r="D77" i="4"/>
  <c r="B78" i="4"/>
  <c r="C78" i="4"/>
  <c r="D78" i="4"/>
  <c r="B79" i="4"/>
  <c r="C79" i="4"/>
  <c r="D79" i="4"/>
  <c r="G79" i="4" s="1"/>
  <c r="B80" i="4"/>
  <c r="C80" i="4"/>
  <c r="D80" i="4"/>
  <c r="B81" i="4"/>
  <c r="C81" i="4"/>
  <c r="D81" i="4"/>
  <c r="B82" i="4"/>
  <c r="C82" i="4"/>
  <c r="D82" i="4"/>
  <c r="B83" i="4"/>
  <c r="C83" i="4"/>
  <c r="D83" i="4"/>
  <c r="B84" i="4"/>
  <c r="C84" i="4"/>
  <c r="D84" i="4"/>
  <c r="B85" i="4"/>
  <c r="C85" i="4"/>
  <c r="D85" i="4"/>
  <c r="B86" i="4"/>
  <c r="C86" i="4"/>
  <c r="D86" i="4"/>
  <c r="B87" i="4"/>
  <c r="C87" i="4"/>
  <c r="D87" i="4"/>
  <c r="G87" i="4" s="1"/>
  <c r="B88" i="4"/>
  <c r="C88" i="4"/>
  <c r="D88" i="4"/>
  <c r="B89" i="4"/>
  <c r="C89" i="4"/>
  <c r="D89" i="4"/>
  <c r="B90" i="4"/>
  <c r="C90" i="4"/>
  <c r="D90" i="4"/>
  <c r="B91" i="4"/>
  <c r="C91" i="4"/>
  <c r="D91" i="4"/>
  <c r="B92" i="4"/>
  <c r="C92" i="4"/>
  <c r="D92" i="4"/>
  <c r="B93" i="4"/>
  <c r="C93" i="4"/>
  <c r="D93" i="4"/>
  <c r="B94" i="4"/>
  <c r="C94" i="4"/>
  <c r="D94" i="4"/>
  <c r="B95" i="4"/>
  <c r="C95" i="4"/>
  <c r="D95" i="4"/>
  <c r="G95" i="4" s="1"/>
  <c r="B96" i="4"/>
  <c r="C96" i="4"/>
  <c r="D96" i="4"/>
  <c r="B97" i="4"/>
  <c r="C97" i="4"/>
  <c r="D97" i="4"/>
  <c r="B98" i="4"/>
  <c r="C98" i="4"/>
  <c r="D98" i="4"/>
  <c r="B99" i="4"/>
  <c r="C99" i="4"/>
  <c r="D99" i="4"/>
  <c r="B100" i="4"/>
  <c r="C100" i="4"/>
  <c r="D100" i="4"/>
  <c r="B101" i="4"/>
  <c r="C101" i="4"/>
  <c r="D101" i="4"/>
  <c r="B102" i="4"/>
  <c r="C102" i="4"/>
  <c r="D102" i="4"/>
  <c r="B103" i="4"/>
  <c r="C103" i="4"/>
  <c r="D103" i="4"/>
  <c r="G103" i="4" s="1"/>
  <c r="B104" i="4"/>
  <c r="C104" i="4"/>
  <c r="D104" i="4"/>
  <c r="B105" i="4"/>
  <c r="C105" i="4"/>
  <c r="D105" i="4"/>
  <c r="B106" i="4"/>
  <c r="C106" i="4"/>
  <c r="D106" i="4"/>
  <c r="B107" i="4"/>
  <c r="C107" i="4"/>
  <c r="D107" i="4"/>
  <c r="B108" i="4"/>
  <c r="C108" i="4"/>
  <c r="D108" i="4"/>
  <c r="B109" i="4"/>
  <c r="C109" i="4"/>
  <c r="D109" i="4"/>
  <c r="B110" i="4"/>
  <c r="C110" i="4"/>
  <c r="D110" i="4"/>
  <c r="B111" i="4"/>
  <c r="C111" i="4"/>
  <c r="D111" i="4"/>
  <c r="G111" i="4" s="1"/>
  <c r="B112" i="4"/>
  <c r="C112" i="4"/>
  <c r="D112" i="4"/>
  <c r="B113" i="4"/>
  <c r="C113" i="4"/>
  <c r="D113" i="4"/>
  <c r="B114" i="4"/>
  <c r="C114" i="4"/>
  <c r="D114" i="4"/>
  <c r="B115" i="4"/>
  <c r="C115" i="4"/>
  <c r="D115" i="4"/>
  <c r="B116" i="4"/>
  <c r="C116" i="4"/>
  <c r="D116" i="4"/>
  <c r="B117" i="4"/>
  <c r="C117" i="4"/>
  <c r="D117" i="4"/>
  <c r="B118" i="4"/>
  <c r="C118" i="4"/>
  <c r="D118" i="4"/>
  <c r="D19" i="4"/>
  <c r="C19" i="4"/>
  <c r="B19" i="4"/>
  <c r="F19" i="4" s="1"/>
  <c r="C17" i="4"/>
  <c r="D17" i="4"/>
  <c r="B17" i="4"/>
  <c r="F89" i="4" l="1"/>
  <c r="F57" i="4"/>
  <c r="F49" i="4"/>
  <c r="F33" i="4"/>
  <c r="F25" i="4"/>
  <c r="F105" i="4"/>
  <c r="F97" i="4"/>
  <c r="F65" i="4"/>
  <c r="F41" i="4"/>
  <c r="F113" i="4"/>
  <c r="F73" i="4"/>
  <c r="F81" i="4"/>
  <c r="G117" i="4"/>
  <c r="G93" i="4"/>
  <c r="G69" i="4"/>
  <c r="G45" i="4"/>
  <c r="G21" i="4"/>
  <c r="G109" i="4"/>
  <c r="G77" i="4"/>
  <c r="G53" i="4"/>
  <c r="G37" i="4"/>
  <c r="G101" i="4"/>
  <c r="G85" i="4"/>
  <c r="G61" i="4"/>
  <c r="G29" i="4"/>
  <c r="G78" i="4"/>
  <c r="G110" i="4"/>
  <c r="F118" i="4"/>
  <c r="F102" i="4"/>
  <c r="F94" i="4"/>
  <c r="F86" i="4"/>
  <c r="F70" i="4"/>
  <c r="F62" i="4"/>
  <c r="F46" i="4"/>
  <c r="F30" i="4"/>
  <c r="F22" i="4"/>
  <c r="G113" i="4"/>
  <c r="G81" i="4"/>
  <c r="G49" i="4"/>
  <c r="F117" i="4"/>
  <c r="G115" i="4"/>
  <c r="F109" i="4"/>
  <c r="G107" i="4"/>
  <c r="F101" i="4"/>
  <c r="G99" i="4"/>
  <c r="F93" i="4"/>
  <c r="F91" i="4"/>
  <c r="F85" i="4"/>
  <c r="G83" i="4"/>
  <c r="F77" i="4"/>
  <c r="G75" i="4"/>
  <c r="F69" i="4"/>
  <c r="G67" i="4"/>
  <c r="F61" i="4"/>
  <c r="G59" i="4"/>
  <c r="F53" i="4"/>
  <c r="F51" i="4"/>
  <c r="F45" i="4"/>
  <c r="G43" i="4"/>
  <c r="F37" i="4"/>
  <c r="G35" i="4"/>
  <c r="F29" i="4"/>
  <c r="G27" i="4"/>
  <c r="F21" i="4"/>
  <c r="G46" i="4"/>
  <c r="F110" i="4"/>
  <c r="F78" i="4"/>
  <c r="F54" i="4"/>
  <c r="F38" i="4"/>
  <c r="F112" i="4"/>
  <c r="F104" i="4"/>
  <c r="F96" i="4"/>
  <c r="F88" i="4"/>
  <c r="F80" i="4"/>
  <c r="F72" i="4"/>
  <c r="F64" i="4"/>
  <c r="F56" i="4"/>
  <c r="F48" i="4"/>
  <c r="F40" i="4"/>
  <c r="F32" i="4"/>
  <c r="F24" i="4"/>
  <c r="G105" i="4"/>
  <c r="G73" i="4"/>
  <c r="G41" i="4"/>
  <c r="G102" i="4"/>
  <c r="G70" i="4"/>
  <c r="G38" i="4"/>
  <c r="F116" i="4"/>
  <c r="G114" i="4"/>
  <c r="F108" i="4"/>
  <c r="G106" i="4"/>
  <c r="F100" i="4"/>
  <c r="G98" i="4"/>
  <c r="F92" i="4"/>
  <c r="G90" i="4"/>
  <c r="F84" i="4"/>
  <c r="G82" i="4"/>
  <c r="F76" i="4"/>
  <c r="G74" i="4"/>
  <c r="F68" i="4"/>
  <c r="G66" i="4"/>
  <c r="F60" i="4"/>
  <c r="G58" i="4"/>
  <c r="F52" i="4"/>
  <c r="G50" i="4"/>
  <c r="F44" i="4"/>
  <c r="G42" i="4"/>
  <c r="F36" i="4"/>
  <c r="G34" i="4"/>
  <c r="F28" i="4"/>
  <c r="G26" i="4"/>
  <c r="F20" i="4"/>
  <c r="G97" i="4"/>
  <c r="G65" i="4"/>
  <c r="G33" i="4"/>
  <c r="G94" i="4"/>
  <c r="G62" i="4"/>
  <c r="G30" i="4"/>
  <c r="F111" i="4"/>
  <c r="F103" i="4"/>
  <c r="F95" i="4"/>
  <c r="F87" i="4"/>
  <c r="F79" i="4"/>
  <c r="F71" i="4"/>
  <c r="F63" i="4"/>
  <c r="F55" i="4"/>
  <c r="F47" i="4"/>
  <c r="F39" i="4"/>
  <c r="F31" i="4"/>
  <c r="F23" i="4"/>
  <c r="G116" i="4"/>
  <c r="G108" i="4"/>
  <c r="G100" i="4"/>
  <c r="G92" i="4"/>
  <c r="G84" i="4"/>
  <c r="G76" i="4"/>
  <c r="G68" i="4"/>
  <c r="G60" i="4"/>
  <c r="G52" i="4"/>
  <c r="G44" i="4"/>
  <c r="G36" i="4"/>
  <c r="G28" i="4"/>
  <c r="G20" i="4"/>
  <c r="G89" i="4"/>
  <c r="G57" i="4"/>
  <c r="G25" i="4"/>
  <c r="G118" i="4"/>
  <c r="G86" i="4"/>
  <c r="G54" i="4"/>
  <c r="G22" i="4"/>
  <c r="G112" i="4"/>
  <c r="G104" i="4"/>
  <c r="G96" i="4"/>
  <c r="G88" i="4"/>
  <c r="G80" i="4"/>
  <c r="G72" i="4"/>
  <c r="G64" i="4"/>
  <c r="G56" i="4"/>
  <c r="G48" i="4"/>
  <c r="G40" i="4"/>
  <c r="G32" i="4"/>
  <c r="G24" i="4"/>
  <c r="F107" i="4"/>
  <c r="F75" i="4"/>
  <c r="F43" i="4"/>
  <c r="G19" i="4"/>
  <c r="F106" i="4"/>
  <c r="F82" i="4"/>
  <c r="F66" i="4"/>
  <c r="F58" i="4"/>
  <c r="F26" i="4"/>
  <c r="F99" i="4"/>
  <c r="F67" i="4"/>
  <c r="F35" i="4"/>
  <c r="F90" i="4"/>
  <c r="F42" i="4"/>
  <c r="F115" i="4"/>
  <c r="F83" i="4"/>
  <c r="F59" i="4"/>
  <c r="F27" i="4"/>
  <c r="F114" i="4"/>
  <c r="F74" i="4"/>
  <c r="F34" i="4"/>
  <c r="G91" i="4"/>
  <c r="G51" i="4"/>
  <c r="F98" i="4"/>
  <c r="F50" i="4"/>
  <c r="E7" i="2" l="1"/>
  <c r="N7" i="2"/>
  <c r="N78" i="2" s="1"/>
  <c r="Y7" i="2"/>
  <c r="G7" i="2"/>
  <c r="G80" i="2" s="1" a="1"/>
  <c r="G80" i="2" s="1"/>
  <c r="O7" i="2"/>
  <c r="O78" i="2" s="1"/>
  <c r="Q7" i="2"/>
  <c r="Q78" i="2" s="1"/>
  <c r="AA7" i="2"/>
  <c r="AA78" i="2" s="1"/>
  <c r="H7" i="2"/>
  <c r="F7" i="2"/>
  <c r="F78" i="2" s="1"/>
  <c r="I7" i="2"/>
  <c r="I78" i="2" s="1"/>
  <c r="K7" i="2"/>
  <c r="K78" i="2" s="1"/>
  <c r="U7" i="2"/>
  <c r="U78" i="2" s="1"/>
  <c r="X7" i="2"/>
  <c r="X78" i="2" s="1"/>
  <c r="AE7" i="2"/>
  <c r="AE78" i="2" s="1"/>
  <c r="M7" i="2"/>
  <c r="S7" i="2"/>
  <c r="S78" i="2" s="1"/>
  <c r="L7" i="2"/>
  <c r="L80" i="2" s="1" a="1"/>
  <c r="L80" i="2" s="1"/>
  <c r="T7" i="2"/>
  <c r="T21" i="2" s="1"/>
  <c r="AG7" i="2"/>
  <c r="AG21" i="2" s="1"/>
  <c r="R7" i="2"/>
  <c r="R78" i="2" s="1"/>
  <c r="X33" i="2"/>
  <c r="X36" i="2" s="1"/>
  <c r="X38" i="2" s="1" a="1"/>
  <c r="X38" i="2" s="1"/>
  <c r="O33" i="2"/>
  <c r="O36" i="2" s="1"/>
  <c r="U33" i="2"/>
  <c r="U36" i="2" s="1"/>
  <c r="M33" i="2"/>
  <c r="M36" i="2" s="1"/>
  <c r="W7" i="2"/>
  <c r="W21" i="2" s="1"/>
  <c r="T33" i="2"/>
  <c r="T36" i="2" s="1"/>
  <c r="T38" i="2" s="1" a="1"/>
  <c r="T38" i="2" s="1"/>
  <c r="L33" i="2"/>
  <c r="L36" i="2" s="1"/>
  <c r="L38" i="2" s="1" a="1"/>
  <c r="L38" i="2" s="1"/>
  <c r="AG33" i="2"/>
  <c r="AG36" i="2" s="1"/>
  <c r="AG14" i="2" s="1"/>
  <c r="Z7" i="2"/>
  <c r="Z67" i="2" s="1"/>
  <c r="AC33" i="2"/>
  <c r="AC36" i="2" s="1"/>
  <c r="S33" i="2"/>
  <c r="S36" i="2" s="1"/>
  <c r="S38" i="2" s="1" a="1"/>
  <c r="S38" i="2" s="1"/>
  <c r="AF33" i="2"/>
  <c r="AF36" i="2" s="1"/>
  <c r="AF14" i="2" s="1"/>
  <c r="AF22" i="2" s="1"/>
  <c r="N33" i="2"/>
  <c r="N36" i="2" s="1"/>
  <c r="N13" i="2" s="1"/>
  <c r="R33" i="2"/>
  <c r="R36" i="2" s="1"/>
  <c r="I33" i="2"/>
  <c r="I36" i="2" s="1"/>
  <c r="I13" i="2" s="1"/>
  <c r="AE33" i="2"/>
  <c r="AE36" i="2" s="1"/>
  <c r="AF7" i="2"/>
  <c r="AF78" i="2" s="1"/>
  <c r="AC7" i="2"/>
  <c r="AC78" i="2" s="1"/>
  <c r="Q33" i="2"/>
  <c r="Q36" i="2" s="1"/>
  <c r="H33" i="2"/>
  <c r="H36" i="2" s="1"/>
  <c r="F33" i="2"/>
  <c r="F36" i="2" s="1"/>
  <c r="AA33" i="2"/>
  <c r="AA36" i="2" s="1"/>
  <c r="AA13" i="2" s="1"/>
  <c r="AD33" i="2"/>
  <c r="AD36" i="2" s="1"/>
  <c r="W33" i="2"/>
  <c r="W36" i="2" s="1"/>
  <c r="C73" i="7"/>
  <c r="C2" i="7" s="1"/>
  <c r="AD7" i="2"/>
  <c r="AD78" i="2" s="1"/>
  <c r="E33" i="2"/>
  <c r="E36" i="2" s="1"/>
  <c r="Y33" i="2"/>
  <c r="Y36" i="2" s="1"/>
  <c r="G33" i="2"/>
  <c r="G36" i="2" s="1"/>
  <c r="G13" i="2" s="1"/>
  <c r="K33" i="2"/>
  <c r="K36" i="2" s="1"/>
  <c r="K38" i="2" s="1" a="1"/>
  <c r="K38" i="2" s="1"/>
  <c r="Z33" i="2"/>
  <c r="Z36" i="2" s="1"/>
  <c r="Z38" i="2" s="1" a="1"/>
  <c r="Z38" i="2" s="1"/>
  <c r="Q21" i="2" l="1"/>
  <c r="S67" i="2"/>
  <c r="AE80" i="2" a="1"/>
  <c r="AE80" i="2" s="1"/>
  <c r="AA21" i="2"/>
  <c r="AG38" i="2" a="1"/>
  <c r="AG38" i="2" s="1"/>
  <c r="AG40" i="2" s="1"/>
  <c r="X80" i="2" a="1"/>
  <c r="X80" i="2" s="1"/>
  <c r="R80" i="2" a="1"/>
  <c r="R80" i="2" s="1"/>
  <c r="AC67" i="2"/>
  <c r="AC80" i="2" a="1"/>
  <c r="AC80" i="2" s="1"/>
  <c r="X67" i="2"/>
  <c r="U21" i="2"/>
  <c r="AA67" i="2"/>
  <c r="AC21" i="2"/>
  <c r="AA80" i="2" a="1"/>
  <c r="AA80" i="2" s="1"/>
  <c r="I67" i="2"/>
  <c r="I21" i="2"/>
  <c r="X13" i="2"/>
  <c r="X31" i="2" s="1"/>
  <c r="U80" i="2" a="1"/>
  <c r="U80" i="2" s="1"/>
  <c r="N21" i="2"/>
  <c r="AG13" i="2"/>
  <c r="AG31" i="2" s="1"/>
  <c r="AG46" i="2" s="1"/>
  <c r="R21" i="2"/>
  <c r="S80" i="2" a="1"/>
  <c r="S80" i="2" s="1"/>
  <c r="AE67" i="2"/>
  <c r="U67" i="2"/>
  <c r="F21" i="2"/>
  <c r="Q80" i="2" a="1"/>
  <c r="Q80" i="2" s="1"/>
  <c r="AD67" i="2"/>
  <c r="G14" i="2"/>
  <c r="G99" i="2" s="1"/>
  <c r="AE21" i="2"/>
  <c r="K67" i="2"/>
  <c r="Q67" i="2"/>
  <c r="X14" i="2"/>
  <c r="X22" i="2" s="1"/>
  <c r="R67" i="2"/>
  <c r="I80" i="2" a="1"/>
  <c r="I80" i="2" s="1"/>
  <c r="O80" i="2" a="1"/>
  <c r="O80" i="2" s="1"/>
  <c r="F38" i="2" a="1"/>
  <c r="F38" i="2" s="1"/>
  <c r="F14" i="2"/>
  <c r="F13" i="2"/>
  <c r="I58" i="2"/>
  <c r="I31" i="2"/>
  <c r="I19" i="2"/>
  <c r="AE14" i="2"/>
  <c r="AE38" i="2" a="1"/>
  <c r="AE38" i="2" s="1"/>
  <c r="AE13" i="2"/>
  <c r="H13" i="2"/>
  <c r="H14" i="2"/>
  <c r="H38" i="2" a="1"/>
  <c r="H38" i="2" s="1"/>
  <c r="W14" i="2"/>
  <c r="W13" i="2"/>
  <c r="W38" i="2" a="1"/>
  <c r="W38" i="2" s="1"/>
  <c r="Q13" i="2"/>
  <c r="Q14" i="2"/>
  <c r="Q38" i="2" a="1"/>
  <c r="Q38" i="2" s="1"/>
  <c r="R13" i="2"/>
  <c r="R14" i="2"/>
  <c r="R38" i="2" a="1"/>
  <c r="R38" i="2" s="1"/>
  <c r="N31" i="2"/>
  <c r="N19" i="2"/>
  <c r="N58" i="2"/>
  <c r="AD14" i="2"/>
  <c r="AD13" i="2"/>
  <c r="AD38" i="2" a="1"/>
  <c r="AD38" i="2" s="1"/>
  <c r="AG99" i="2"/>
  <c r="AG22" i="2"/>
  <c r="AC13" i="2"/>
  <c r="AC38" i="2" a="1"/>
  <c r="AC38" i="2" s="1"/>
  <c r="AC14" i="2"/>
  <c r="G31" i="2"/>
  <c r="G58" i="2"/>
  <c r="G19" i="2"/>
  <c r="Y14" i="2"/>
  <c r="Y13" i="2"/>
  <c r="Y38" i="2" a="1"/>
  <c r="Y38" i="2" s="1"/>
  <c r="AA58" i="2"/>
  <c r="AA19" i="2"/>
  <c r="AA31" i="2"/>
  <c r="O13" i="2"/>
  <c r="O14" i="2"/>
  <c r="O38" i="2" a="1"/>
  <c r="O38" i="2" s="1"/>
  <c r="U13" i="2"/>
  <c r="U14" i="2"/>
  <c r="U38" i="2" a="1"/>
  <c r="U38" i="2" s="1"/>
  <c r="Y78" i="2"/>
  <c r="Y80" i="2" a="1"/>
  <c r="Y80" i="2" s="1"/>
  <c r="Z14" i="2"/>
  <c r="M14" i="2"/>
  <c r="Y21" i="2"/>
  <c r="W78" i="2"/>
  <c r="W67" i="2"/>
  <c r="H78" i="2"/>
  <c r="H67" i="2"/>
  <c r="H80" i="2" a="1"/>
  <c r="H80" i="2" s="1"/>
  <c r="E80" i="2" a="1"/>
  <c r="E80" i="2" s="1"/>
  <c r="E78" i="2"/>
  <c r="E21" i="2"/>
  <c r="E67" i="2"/>
  <c r="G38" i="2" a="1"/>
  <c r="G38" i="2" s="1"/>
  <c r="AF67" i="2"/>
  <c r="AF38" i="2" a="1"/>
  <c r="AF38" i="2" s="1"/>
  <c r="AF40" i="2" s="1"/>
  <c r="W80" i="2" a="1"/>
  <c r="W80" i="2" s="1"/>
  <c r="Y67" i="2"/>
  <c r="AF80" i="2" a="1"/>
  <c r="AF80" i="2" s="1"/>
  <c r="T14" i="2"/>
  <c r="Z78" i="2"/>
  <c r="Z80" i="2" a="1"/>
  <c r="Z80" i="2" s="1"/>
  <c r="Z21" i="2"/>
  <c r="Z13" i="2"/>
  <c r="AD21" i="2"/>
  <c r="C74" i="7"/>
  <c r="AF13" i="2"/>
  <c r="S13" i="2"/>
  <c r="S14" i="2"/>
  <c r="E14" i="2"/>
  <c r="E13" i="2"/>
  <c r="AF99" i="2"/>
  <c r="AA38" i="2" a="1"/>
  <c r="AA38" i="2" s="1"/>
  <c r="AA14" i="2"/>
  <c r="I14" i="2"/>
  <c r="I38" i="2" a="1"/>
  <c r="I38" i="2" s="1"/>
  <c r="N14" i="2"/>
  <c r="L14" i="2"/>
  <c r="L13" i="2"/>
  <c r="T78" i="2"/>
  <c r="T80" i="2" a="1"/>
  <c r="T80" i="2" s="1"/>
  <c r="T67" i="2"/>
  <c r="M78" i="2"/>
  <c r="M80" i="2" a="1"/>
  <c r="M80" i="2" s="1"/>
  <c r="M67" i="2"/>
  <c r="M21" i="2"/>
  <c r="K13" i="2"/>
  <c r="E38" i="2" a="1"/>
  <c r="E38" i="2" s="1"/>
  <c r="AD80" i="2" a="1"/>
  <c r="AD80" i="2" s="1"/>
  <c r="AF21" i="2"/>
  <c r="M13" i="2"/>
  <c r="M38" i="2" a="1"/>
  <c r="M38" i="2" s="1"/>
  <c r="N38" i="2" a="1"/>
  <c r="N38" i="2" s="1"/>
  <c r="L78" i="2"/>
  <c r="L67" i="2"/>
  <c r="L21" i="2"/>
  <c r="K14" i="2"/>
  <c r="T13" i="2"/>
  <c r="H21" i="2"/>
  <c r="G78" i="2"/>
  <c r="G67" i="2"/>
  <c r="G21" i="2"/>
  <c r="N80" i="2" a="1"/>
  <c r="N80" i="2" s="1"/>
  <c r="AG67" i="2"/>
  <c r="K80" i="2" a="1"/>
  <c r="K80" i="2" s="1"/>
  <c r="F80" i="2" a="1"/>
  <c r="F80" i="2" s="1"/>
  <c r="O67" i="2"/>
  <c r="AG80" i="2" a="1"/>
  <c r="AG80" i="2" s="1"/>
  <c r="S21" i="2"/>
  <c r="X21" i="2"/>
  <c r="K21" i="2"/>
  <c r="O21" i="2"/>
  <c r="N67" i="2"/>
  <c r="AG78" i="2"/>
  <c r="F67" i="2"/>
  <c r="X40" i="2" l="1"/>
  <c r="AG39" i="2"/>
  <c r="AG19" i="2"/>
  <c r="AG24" i="2" s="1"/>
  <c r="AG66" i="2" s="1"/>
  <c r="AG70" i="2" s="1"/>
  <c r="X99" i="2"/>
  <c r="G40" i="2"/>
  <c r="G22" i="2"/>
  <c r="G24" i="2" s="1"/>
  <c r="AG58" i="2"/>
  <c r="X19" i="2"/>
  <c r="X24" i="2" s="1"/>
  <c r="X58" i="2"/>
  <c r="I22" i="2"/>
  <c r="I24" i="2" s="1"/>
  <c r="I40" i="2"/>
  <c r="I99" i="2"/>
  <c r="AA99" i="2"/>
  <c r="AA40" i="2"/>
  <c r="AA22" i="2"/>
  <c r="AA24" i="2" s="1"/>
  <c r="S22" i="2"/>
  <c r="S40" i="2"/>
  <c r="S99" i="2"/>
  <c r="AC31" i="2"/>
  <c r="AC58" i="2"/>
  <c r="AC19" i="2"/>
  <c r="S19" i="2"/>
  <c r="S58" i="2"/>
  <c r="S31" i="2"/>
  <c r="O40" i="2"/>
  <c r="O22" i="2"/>
  <c r="O99" i="2"/>
  <c r="Y40" i="2"/>
  <c r="Y22" i="2"/>
  <c r="Y99" i="2"/>
  <c r="Q40" i="2"/>
  <c r="Q22" i="2"/>
  <c r="Q99" i="2"/>
  <c r="I46" i="2"/>
  <c r="I39" i="2"/>
  <c r="L58" i="2"/>
  <c r="L19" i="2"/>
  <c r="L31" i="2"/>
  <c r="T99" i="2"/>
  <c r="T40" i="2"/>
  <c r="T22" i="2"/>
  <c r="O31" i="2"/>
  <c r="O58" i="2"/>
  <c r="O19" i="2"/>
  <c r="N39" i="2"/>
  <c r="N46" i="2"/>
  <c r="Q58" i="2"/>
  <c r="Q19" i="2"/>
  <c r="Q31" i="2"/>
  <c r="H22" i="2"/>
  <c r="H99" i="2"/>
  <c r="H40" i="2"/>
  <c r="D78" i="7"/>
  <c r="E41" i="2" s="1"/>
  <c r="E44" i="2" s="1"/>
  <c r="G78" i="7"/>
  <c r="H41" i="2" s="1"/>
  <c r="H44" i="2" s="1"/>
  <c r="E78" i="7"/>
  <c r="F41" i="2" s="1"/>
  <c r="F44" i="2" s="1"/>
  <c r="H80" i="7"/>
  <c r="U41" i="2" s="1"/>
  <c r="U44" i="2" s="1"/>
  <c r="F80" i="7"/>
  <c r="S41" i="2" s="1"/>
  <c r="S44" i="2" s="1"/>
  <c r="D81" i="7"/>
  <c r="W41" i="2" s="1"/>
  <c r="W44" i="2" s="1"/>
  <c r="G82" i="7"/>
  <c r="AF41" i="2" s="1"/>
  <c r="AF44" i="2" s="1"/>
  <c r="F81" i="7"/>
  <c r="Y41" i="2" s="1"/>
  <c r="Y44" i="2" s="1"/>
  <c r="E82" i="7"/>
  <c r="AD41" i="2" s="1"/>
  <c r="AD44" i="2" s="1"/>
  <c r="D79" i="7"/>
  <c r="K41" i="2" s="1"/>
  <c r="K44" i="2" s="1"/>
  <c r="H78" i="7"/>
  <c r="I41" i="2" s="1"/>
  <c r="I44" i="2" s="1"/>
  <c r="E81" i="7"/>
  <c r="X41" i="2" s="1"/>
  <c r="X44" i="2" s="1"/>
  <c r="D80" i="7"/>
  <c r="Q41" i="2" s="1"/>
  <c r="Q44" i="2" s="1"/>
  <c r="H82" i="7"/>
  <c r="AG41" i="2" s="1"/>
  <c r="G80" i="7"/>
  <c r="T41" i="2" s="1"/>
  <c r="T44" i="2" s="1"/>
  <c r="D82" i="7"/>
  <c r="AC41" i="2" s="1"/>
  <c r="AC44" i="2" s="1"/>
  <c r="F79" i="7"/>
  <c r="M41" i="2" s="1"/>
  <c r="M44" i="2" s="1"/>
  <c r="E80" i="7"/>
  <c r="R41" i="2" s="1"/>
  <c r="R44" i="2" s="1"/>
  <c r="H81" i="7"/>
  <c r="AA41" i="2" s="1"/>
  <c r="AA44" i="2" s="1"/>
  <c r="F78" i="7"/>
  <c r="G41" i="2" s="1"/>
  <c r="G44" i="2" s="1"/>
  <c r="G81" i="7"/>
  <c r="Z41" i="2" s="1"/>
  <c r="Z44" i="2" s="1"/>
  <c r="G79" i="7"/>
  <c r="N41" i="2" s="1"/>
  <c r="N44" i="2" s="1"/>
  <c r="E79" i="7"/>
  <c r="L41" i="2" s="1"/>
  <c r="L44" i="2" s="1"/>
  <c r="H79" i="7"/>
  <c r="O41" i="2" s="1"/>
  <c r="O44" i="2" s="1"/>
  <c r="F82" i="7"/>
  <c r="AE41" i="2" s="1"/>
  <c r="AE44" i="2" s="1"/>
  <c r="AA39" i="2"/>
  <c r="AA46" i="2"/>
  <c r="H58" i="2"/>
  <c r="H31" i="2"/>
  <c r="H19" i="2"/>
  <c r="H24" i="2" s="1"/>
  <c r="F58" i="2"/>
  <c r="F31" i="2"/>
  <c r="F19" i="2"/>
  <c r="Z22" i="2"/>
  <c r="Z99" i="2"/>
  <c r="Z40" i="2"/>
  <c r="Y19" i="2"/>
  <c r="Y58" i="2"/>
  <c r="Y31" i="2"/>
  <c r="M31" i="2"/>
  <c r="M19" i="2"/>
  <c r="M58" i="2"/>
  <c r="L99" i="2"/>
  <c r="L22" i="2"/>
  <c r="L40" i="2"/>
  <c r="X46" i="2"/>
  <c r="X39" i="2"/>
  <c r="U40" i="2"/>
  <c r="U22" i="2"/>
  <c r="U99" i="2"/>
  <c r="G46" i="2"/>
  <c r="G39" i="2"/>
  <c r="W31" i="2"/>
  <c r="W19" i="2"/>
  <c r="W58" i="2"/>
  <c r="AE58" i="2"/>
  <c r="AE31" i="2"/>
  <c r="AE19" i="2"/>
  <c r="F99" i="2"/>
  <c r="F22" i="2"/>
  <c r="F40" i="2"/>
  <c r="AE99" i="2"/>
  <c r="AE22" i="2"/>
  <c r="AE40" i="2"/>
  <c r="T31" i="2"/>
  <c r="T19" i="2"/>
  <c r="T58" i="2"/>
  <c r="N40" i="2"/>
  <c r="N99" i="2"/>
  <c r="N22" i="2"/>
  <c r="N24" i="2" s="1"/>
  <c r="E31" i="2"/>
  <c r="E58" i="2"/>
  <c r="E19" i="2"/>
  <c r="Z58" i="2"/>
  <c r="Z19" i="2"/>
  <c r="Z31" i="2"/>
  <c r="M22" i="2"/>
  <c r="M99" i="2"/>
  <c r="M40" i="2"/>
  <c r="U19" i="2"/>
  <c r="U31" i="2"/>
  <c r="U58" i="2"/>
  <c r="AC22" i="2"/>
  <c r="AC99" i="2"/>
  <c r="AC40" i="2"/>
  <c r="R40" i="2"/>
  <c r="R22" i="2"/>
  <c r="R99" i="2"/>
  <c r="AD22" i="2"/>
  <c r="AD40" i="2"/>
  <c r="AD99" i="2"/>
  <c r="K31" i="2"/>
  <c r="K58" i="2"/>
  <c r="K19" i="2"/>
  <c r="AF58" i="2"/>
  <c r="AF31" i="2"/>
  <c r="AF19" i="2"/>
  <c r="AF24" i="2" s="1"/>
  <c r="K40" i="2"/>
  <c r="K22" i="2"/>
  <c r="K99" i="2"/>
  <c r="E22" i="2"/>
  <c r="E99" i="2"/>
  <c r="E40" i="2"/>
  <c r="AD58" i="2"/>
  <c r="AD31" i="2"/>
  <c r="AD19" i="2"/>
  <c r="R58" i="2"/>
  <c r="R31" i="2"/>
  <c r="R19" i="2"/>
  <c r="W40" i="2"/>
  <c r="W99" i="2"/>
  <c r="W22" i="2"/>
  <c r="AG91" i="2" l="1"/>
  <c r="AG92" i="2" s="1"/>
  <c r="AG26" i="2"/>
  <c r="Y24" i="2"/>
  <c r="Y66" i="2" s="1"/>
  <c r="Y70" i="2" s="1"/>
  <c r="Q24" i="2"/>
  <c r="Q26" i="2" s="1"/>
  <c r="K24" i="2"/>
  <c r="K26" i="2" s="1"/>
  <c r="X66" i="2"/>
  <c r="X70" i="2" s="1"/>
  <c r="X26" i="2"/>
  <c r="X91" i="2"/>
  <c r="X92" i="2" s="1"/>
  <c r="R24" i="2"/>
  <c r="R91" i="2" s="1"/>
  <c r="R92" i="2" s="1"/>
  <c r="T24" i="2"/>
  <c r="T66" i="2" s="1"/>
  <c r="T70" i="2" s="1"/>
  <c r="M24" i="2"/>
  <c r="M91" i="2" s="1"/>
  <c r="M92" i="2" s="1"/>
  <c r="S24" i="2"/>
  <c r="S66" i="2" s="1"/>
  <c r="S70" i="2" s="1"/>
  <c r="O24" i="2"/>
  <c r="O91" i="2" s="1"/>
  <c r="O92" i="2" s="1"/>
  <c r="E24" i="2"/>
  <c r="E66" i="2" s="1"/>
  <c r="E70" i="2" s="1"/>
  <c r="I66" i="2"/>
  <c r="I70" i="2" s="1"/>
  <c r="I91" i="2"/>
  <c r="I92" i="2" s="1"/>
  <c r="I26" i="2"/>
  <c r="W24" i="2"/>
  <c r="M42" i="2"/>
  <c r="M39" i="2"/>
  <c r="M46" i="2"/>
  <c r="F24" i="2"/>
  <c r="O42" i="2"/>
  <c r="O48" i="2" s="1"/>
  <c r="O57" i="2" s="1"/>
  <c r="O60" i="2" s="1"/>
  <c r="O39" i="2"/>
  <c r="O46" i="2"/>
  <c r="AC39" i="2"/>
  <c r="AC46" i="2"/>
  <c r="AC42" i="2"/>
  <c r="AC48" i="2" s="1"/>
  <c r="AC57" i="2" s="1"/>
  <c r="AC60" i="2" s="1"/>
  <c r="E42" i="2"/>
  <c r="E48" i="2" s="1"/>
  <c r="E57" i="2" s="1"/>
  <c r="E60" i="2" s="1"/>
  <c r="E46" i="2"/>
  <c r="E39" i="2"/>
  <c r="K42" i="2"/>
  <c r="K48" i="2" s="1"/>
  <c r="K57" i="2" s="1"/>
  <c r="K60" i="2" s="1"/>
  <c r="K46" i="2"/>
  <c r="K39" i="2"/>
  <c r="Z42" i="2"/>
  <c r="Z48" i="2" s="1"/>
  <c r="Z57" i="2" s="1"/>
  <c r="Z60" i="2" s="1"/>
  <c r="Z46" i="2"/>
  <c r="Z39" i="2"/>
  <c r="W46" i="2"/>
  <c r="W42" i="2"/>
  <c r="W48" i="2" s="1"/>
  <c r="W57" i="2" s="1"/>
  <c r="W60" i="2" s="1"/>
  <c r="W39" i="2"/>
  <c r="F42" i="2"/>
  <c r="F48" i="2" s="1"/>
  <c r="F57" i="2" s="1"/>
  <c r="F60" i="2" s="1"/>
  <c r="F39" i="2"/>
  <c r="F46" i="2"/>
  <c r="AA42" i="2"/>
  <c r="S42" i="2"/>
  <c r="S48" i="2" s="1"/>
  <c r="S57" i="2" s="1"/>
  <c r="S60" i="2" s="1"/>
  <c r="S46" i="2"/>
  <c r="S39" i="2"/>
  <c r="AD42" i="2"/>
  <c r="AD39" i="2"/>
  <c r="AD46" i="2"/>
  <c r="N91" i="2"/>
  <c r="N92" i="2" s="1"/>
  <c r="N26" i="2"/>
  <c r="N66" i="2"/>
  <c r="N70" i="2" s="1"/>
  <c r="Z24" i="2"/>
  <c r="G42" i="2"/>
  <c r="H91" i="2"/>
  <c r="H92" i="2" s="1"/>
  <c r="H66" i="2"/>
  <c r="H70" i="2" s="1"/>
  <c r="H26" i="2"/>
  <c r="I42" i="2"/>
  <c r="U46" i="2"/>
  <c r="U42" i="2"/>
  <c r="U48" i="2" s="1"/>
  <c r="U57" i="2" s="1"/>
  <c r="U60" i="2" s="1"/>
  <c r="U39" i="2"/>
  <c r="AE24" i="2"/>
  <c r="H46" i="2"/>
  <c r="H39" i="2"/>
  <c r="H42" i="2"/>
  <c r="N42" i="2"/>
  <c r="X42" i="2"/>
  <c r="AF26" i="2"/>
  <c r="AF91" i="2"/>
  <c r="AF92" i="2" s="1"/>
  <c r="AF66" i="2"/>
  <c r="AF70" i="2" s="1"/>
  <c r="AF42" i="2"/>
  <c r="AF48" i="2" s="1"/>
  <c r="AF57" i="2" s="1"/>
  <c r="AF60" i="2" s="1"/>
  <c r="AF39" i="2"/>
  <c r="AF46" i="2"/>
  <c r="U24" i="2"/>
  <c r="T42" i="2"/>
  <c r="T39" i="2"/>
  <c r="T46" i="2"/>
  <c r="AE46" i="2"/>
  <c r="AE39" i="2"/>
  <c r="AE42" i="2"/>
  <c r="AE48" i="2" s="1"/>
  <c r="AE57" i="2" s="1"/>
  <c r="AE60" i="2" s="1"/>
  <c r="AG44" i="2"/>
  <c r="AG42" i="2"/>
  <c r="G66" i="2"/>
  <c r="G70" i="2" s="1"/>
  <c r="G91" i="2"/>
  <c r="G92" i="2" s="1"/>
  <c r="G26" i="2"/>
  <c r="L42" i="2"/>
  <c r="L46" i="2"/>
  <c r="L39" i="2"/>
  <c r="Y42" i="2"/>
  <c r="Y48" i="2" s="1"/>
  <c r="Y57" i="2" s="1"/>
  <c r="Y60" i="2" s="1"/>
  <c r="Y39" i="2"/>
  <c r="Y46" i="2"/>
  <c r="R42" i="2"/>
  <c r="R48" i="2" s="1"/>
  <c r="R57" i="2" s="1"/>
  <c r="R60" i="2" s="1"/>
  <c r="R46" i="2"/>
  <c r="R39" i="2"/>
  <c r="AD24" i="2"/>
  <c r="AA91" i="2"/>
  <c r="AA92" i="2" s="1"/>
  <c r="AA26" i="2"/>
  <c r="AA66" i="2"/>
  <c r="AA70" i="2" s="1"/>
  <c r="Q42" i="2"/>
  <c r="Q39" i="2"/>
  <c r="Q46" i="2"/>
  <c r="L24" i="2"/>
  <c r="AC24" i="2"/>
  <c r="E91" i="2" l="1"/>
  <c r="E92" i="2" s="1"/>
  <c r="E26" i="2"/>
  <c r="Q91" i="2"/>
  <c r="Q92" i="2" s="1"/>
  <c r="Y91" i="2"/>
  <c r="Y92" i="2" s="1"/>
  <c r="Y26" i="2"/>
  <c r="Q66" i="2"/>
  <c r="Q70" i="2" s="1"/>
  <c r="K66" i="2"/>
  <c r="K70" i="2" s="1"/>
  <c r="K91" i="2"/>
  <c r="K92" i="2" s="1"/>
  <c r="S91" i="2"/>
  <c r="S92" i="2" s="1"/>
  <c r="O66" i="2"/>
  <c r="O70" i="2" s="1"/>
  <c r="T26" i="2"/>
  <c r="T91" i="2"/>
  <c r="T92" i="2" s="1"/>
  <c r="R26" i="2"/>
  <c r="R66" i="2"/>
  <c r="R70" i="2" s="1"/>
  <c r="O26" i="2"/>
  <c r="M66" i="2"/>
  <c r="M70" i="2" s="1"/>
  <c r="M26" i="2"/>
  <c r="S26" i="2"/>
  <c r="L98" i="2"/>
  <c r="L62" i="2" a="1"/>
  <c r="L62" i="2" s="1"/>
  <c r="L45" i="2"/>
  <c r="L51" i="2"/>
  <c r="L47" i="2"/>
  <c r="N62" i="2" a="1"/>
  <c r="N62" i="2" s="1"/>
  <c r="N51" i="2"/>
  <c r="N98" i="2"/>
  <c r="N45" i="2"/>
  <c r="N47" i="2"/>
  <c r="N48" i="2"/>
  <c r="N57" i="2" s="1"/>
  <c r="N60" i="2" s="1"/>
  <c r="U51" i="2"/>
  <c r="U45" i="2"/>
  <c r="U98" i="2"/>
  <c r="U62" i="2" a="1"/>
  <c r="U62" i="2" s="1"/>
  <c r="U47" i="2"/>
  <c r="F62" i="2" a="1"/>
  <c r="F62" i="2" s="1"/>
  <c r="F45" i="2"/>
  <c r="F51" i="2"/>
  <c r="F98" i="2"/>
  <c r="F47" i="2"/>
  <c r="Z62" i="2" a="1"/>
  <c r="Z62" i="2" s="1"/>
  <c r="Z45" i="2"/>
  <c r="Z51" i="2"/>
  <c r="Z98" i="2"/>
  <c r="Z47" i="2"/>
  <c r="M45" i="2"/>
  <c r="M51" i="2"/>
  <c r="M62" i="2" a="1"/>
  <c r="M62" i="2" s="1"/>
  <c r="M98" i="2"/>
  <c r="M47" i="2"/>
  <c r="AD66" i="2"/>
  <c r="AD70" i="2" s="1"/>
  <c r="AD91" i="2"/>
  <c r="AD92" i="2" s="1"/>
  <c r="AD26" i="2"/>
  <c r="AE62" i="2" a="1"/>
  <c r="AE62" i="2" s="1"/>
  <c r="AE98" i="2"/>
  <c r="AE51" i="2"/>
  <c r="AE45" i="2"/>
  <c r="AE47" i="2"/>
  <c r="H45" i="2"/>
  <c r="H51" i="2"/>
  <c r="H98" i="2"/>
  <c r="H62" i="2" a="1"/>
  <c r="H62" i="2" s="1"/>
  <c r="H47" i="2"/>
  <c r="W66" i="2"/>
  <c r="W70" i="2" s="1"/>
  <c r="W91" i="2"/>
  <c r="W92" i="2" s="1"/>
  <c r="W26" i="2"/>
  <c r="T51" i="2"/>
  <c r="T98" i="2"/>
  <c r="T62" i="2" a="1"/>
  <c r="T62" i="2" s="1"/>
  <c r="T45" i="2"/>
  <c r="T47" i="2"/>
  <c r="AE91" i="2"/>
  <c r="AE92" i="2" s="1"/>
  <c r="AE26" i="2"/>
  <c r="AE66" i="2"/>
  <c r="AE70" i="2" s="1"/>
  <c r="X45" i="2"/>
  <c r="X51" i="2"/>
  <c r="X98" i="2"/>
  <c r="X62" i="2" a="1"/>
  <c r="X62" i="2" s="1"/>
  <c r="X47" i="2"/>
  <c r="X48" i="2"/>
  <c r="X57" i="2" s="1"/>
  <c r="X60" i="2" s="1"/>
  <c r="R62" i="2" a="1"/>
  <c r="R62" i="2" s="1"/>
  <c r="R51" i="2"/>
  <c r="R45" i="2"/>
  <c r="R98" i="2"/>
  <c r="R47" i="2"/>
  <c r="S45" i="2"/>
  <c r="S51" i="2"/>
  <c r="S98" i="2"/>
  <c r="S62" i="2" a="1"/>
  <c r="S62" i="2" s="1"/>
  <c r="S47" i="2"/>
  <c r="W98" i="2"/>
  <c r="W51" i="2"/>
  <c r="W62" i="2" a="1"/>
  <c r="W62" i="2" s="1"/>
  <c r="W45" i="2"/>
  <c r="W47" i="2"/>
  <c r="O98" i="2"/>
  <c r="O45" i="2"/>
  <c r="O62" i="2" a="1"/>
  <c r="O62" i="2" s="1"/>
  <c r="O51" i="2"/>
  <c r="O47" i="2"/>
  <c r="AD51" i="2"/>
  <c r="AD62" i="2" a="1"/>
  <c r="AD62" i="2" s="1"/>
  <c r="AD45" i="2"/>
  <c r="AD98" i="2"/>
  <c r="AD47" i="2"/>
  <c r="Y98" i="2"/>
  <c r="Y62" i="2" a="1"/>
  <c r="Y62" i="2" s="1"/>
  <c r="Y51" i="2"/>
  <c r="Y45" i="2"/>
  <c r="Y47" i="2"/>
  <c r="T48" i="2"/>
  <c r="T57" i="2" s="1"/>
  <c r="T60" i="2" s="1"/>
  <c r="AF98" i="2"/>
  <c r="AF62" i="2" a="1"/>
  <c r="AF62" i="2" s="1"/>
  <c r="AF51" i="2"/>
  <c r="AF45" i="2"/>
  <c r="AF47" i="2"/>
  <c r="AD48" i="2"/>
  <c r="AD57" i="2" s="1"/>
  <c r="AD60" i="2" s="1"/>
  <c r="AA62" i="2" a="1"/>
  <c r="AA62" i="2" s="1"/>
  <c r="AA45" i="2"/>
  <c r="AA98" i="2"/>
  <c r="AA51" i="2"/>
  <c r="AA47" i="2"/>
  <c r="AA48" i="2"/>
  <c r="AA57" i="2" s="1"/>
  <c r="AA60" i="2" s="1"/>
  <c r="K62" i="2" a="1"/>
  <c r="K62" i="2" s="1"/>
  <c r="K51" i="2"/>
  <c r="K45" i="2"/>
  <c r="K98" i="2"/>
  <c r="K47" i="2"/>
  <c r="F26" i="2"/>
  <c r="F66" i="2"/>
  <c r="F70" i="2" s="1"/>
  <c r="F91" i="2"/>
  <c r="F92" i="2" s="1"/>
  <c r="L91" i="2"/>
  <c r="L92" i="2" s="1"/>
  <c r="L26" i="2"/>
  <c r="L66" i="2"/>
  <c r="L70" i="2" s="1"/>
  <c r="U26" i="2"/>
  <c r="U91" i="2"/>
  <c r="U92" i="2" s="1"/>
  <c r="U66" i="2"/>
  <c r="U70" i="2" s="1"/>
  <c r="L48" i="2"/>
  <c r="L57" i="2" s="1"/>
  <c r="L60" i="2" s="1"/>
  <c r="G62" i="2" a="1"/>
  <c r="G62" i="2" s="1"/>
  <c r="G51" i="2"/>
  <c r="G45" i="2"/>
  <c r="G98" i="2"/>
  <c r="G47" i="2"/>
  <c r="G48" i="2"/>
  <c r="G57" i="2" s="1"/>
  <c r="G60" i="2" s="1"/>
  <c r="E98" i="2"/>
  <c r="E62" i="2" a="1"/>
  <c r="E62" i="2" s="1"/>
  <c r="E45" i="2"/>
  <c r="E51" i="2"/>
  <c r="E47" i="2"/>
  <c r="AC45" i="2"/>
  <c r="AC98" i="2"/>
  <c r="AC62" i="2" a="1"/>
  <c r="AC62" i="2" s="1"/>
  <c r="AC51" i="2"/>
  <c r="AC47" i="2"/>
  <c r="AC26" i="2"/>
  <c r="AC66" i="2"/>
  <c r="AC70" i="2" s="1"/>
  <c r="AC91" i="2"/>
  <c r="AC92" i="2" s="1"/>
  <c r="I62" i="2" a="1"/>
  <c r="I62" i="2" s="1"/>
  <c r="I51" i="2"/>
  <c r="I98" i="2"/>
  <c r="I45" i="2"/>
  <c r="I47" i="2"/>
  <c r="I48" i="2"/>
  <c r="I57" i="2" s="1"/>
  <c r="I60" i="2" s="1"/>
  <c r="Q51" i="2"/>
  <c r="Q62" i="2" a="1"/>
  <c r="Q62" i="2" s="1"/>
  <c r="Q98" i="2"/>
  <c r="Q45" i="2"/>
  <c r="Q47" i="2"/>
  <c r="H48" i="2"/>
  <c r="H57" i="2" s="1"/>
  <c r="H60" i="2" s="1"/>
  <c r="Q48" i="2"/>
  <c r="Q57" i="2" s="1"/>
  <c r="Q60" i="2" s="1"/>
  <c r="AG51" i="2"/>
  <c r="AG98" i="2"/>
  <c r="AG62" i="2" a="1"/>
  <c r="AG62" i="2" s="1"/>
  <c r="AG45" i="2"/>
  <c r="AG47" i="2"/>
  <c r="AG48" i="2"/>
  <c r="AG57" i="2" s="1"/>
  <c r="AG60" i="2" s="1"/>
  <c r="Z91" i="2"/>
  <c r="Z92" i="2" s="1"/>
  <c r="Z26" i="2"/>
  <c r="Z66" i="2"/>
  <c r="Z70" i="2" s="1"/>
  <c r="M48" i="2"/>
  <c r="M57" i="2" s="1"/>
  <c r="M60" i="2" s="1"/>
  <c r="X104" i="2" l="1"/>
  <c r="X100" i="2"/>
  <c r="Z79" i="2"/>
  <c r="Z77" i="2" s="1"/>
  <c r="Z55" i="2"/>
  <c r="Z72" i="2" s="1"/>
  <c r="N104" i="2"/>
  <c r="N100" i="2"/>
  <c r="AG79" i="2"/>
  <c r="AG77" i="2" s="1"/>
  <c r="AG55" i="2"/>
  <c r="AG72" i="2" s="1"/>
  <c r="G104" i="2"/>
  <c r="G100" i="2"/>
  <c r="Y79" i="2"/>
  <c r="Y77" i="2" s="1"/>
  <c r="Y55" i="2"/>
  <c r="Y72" i="2" s="1"/>
  <c r="W79" i="2"/>
  <c r="W77" i="2" s="1"/>
  <c r="W55" i="2"/>
  <c r="W72" i="2" s="1"/>
  <c r="R104" i="2"/>
  <c r="R100" i="2"/>
  <c r="X55" i="2"/>
  <c r="X72" i="2" s="1"/>
  <c r="X79" i="2"/>
  <c r="X77" i="2" s="1"/>
  <c r="AE79" i="2"/>
  <c r="AE77" i="2" s="1"/>
  <c r="AE55" i="2"/>
  <c r="AE72" i="2" s="1"/>
  <c r="N55" i="2"/>
  <c r="N72" i="2" s="1"/>
  <c r="N79" i="2"/>
  <c r="N77" i="2" s="1"/>
  <c r="AG104" i="2"/>
  <c r="AG100" i="2"/>
  <c r="AD79" i="2"/>
  <c r="AD77" i="2" s="1"/>
  <c r="AD55" i="2"/>
  <c r="AD72" i="2" s="1"/>
  <c r="O79" i="2"/>
  <c r="O77" i="2" s="1"/>
  <c r="O55" i="2"/>
  <c r="O72" i="2" s="1"/>
  <c r="W100" i="2"/>
  <c r="W104" i="2"/>
  <c r="AE100" i="2"/>
  <c r="AE104" i="2"/>
  <c r="M104" i="2"/>
  <c r="M100" i="2"/>
  <c r="U100" i="2"/>
  <c r="U104" i="2"/>
  <c r="T100" i="2"/>
  <c r="T104" i="2"/>
  <c r="K55" i="2"/>
  <c r="K72" i="2" s="1"/>
  <c r="K79" i="2"/>
  <c r="K77" i="2" s="1"/>
  <c r="E55" i="2"/>
  <c r="E72" i="2" s="1"/>
  <c r="E79" i="2"/>
  <c r="E77" i="2" s="1"/>
  <c r="R79" i="2"/>
  <c r="R77" i="2" s="1"/>
  <c r="R55" i="2"/>
  <c r="R72" i="2" s="1"/>
  <c r="AA55" i="2"/>
  <c r="AA72" i="2" s="1"/>
  <c r="AA79" i="2"/>
  <c r="AA77" i="2" s="1"/>
  <c r="T79" i="2"/>
  <c r="T77" i="2" s="1"/>
  <c r="T55" i="2"/>
  <c r="T72" i="2" s="1"/>
  <c r="H100" i="2"/>
  <c r="H104" i="2"/>
  <c r="M55" i="2"/>
  <c r="M72" i="2" s="1"/>
  <c r="M79" i="2"/>
  <c r="M77" i="2" s="1"/>
  <c r="F100" i="2"/>
  <c r="F104" i="2"/>
  <c r="U79" i="2"/>
  <c r="U77" i="2" s="1"/>
  <c r="U55" i="2"/>
  <c r="U72" i="2" s="1"/>
  <c r="L55" i="2"/>
  <c r="L72" i="2" s="1"/>
  <c r="L79" i="2"/>
  <c r="L77" i="2" s="1"/>
  <c r="Y100" i="2"/>
  <c r="Y104" i="2"/>
  <c r="I55" i="2"/>
  <c r="I72" i="2" s="1"/>
  <c r="I79" i="2"/>
  <c r="I77" i="2" s="1"/>
  <c r="AC79" i="2"/>
  <c r="AC77" i="2" s="1"/>
  <c r="AC55" i="2"/>
  <c r="AC72" i="2" s="1"/>
  <c r="AA104" i="2"/>
  <c r="AA100" i="2"/>
  <c r="AF100" i="2"/>
  <c r="AF104" i="2"/>
  <c r="AD104" i="2"/>
  <c r="AD100" i="2"/>
  <c r="O100" i="2"/>
  <c r="O104" i="2"/>
  <c r="S100" i="2"/>
  <c r="S104" i="2"/>
  <c r="H55" i="2"/>
  <c r="H72" i="2" s="1"/>
  <c r="H79" i="2"/>
  <c r="H77" i="2" s="1"/>
  <c r="F79" i="2"/>
  <c r="F77" i="2" s="1"/>
  <c r="F55" i="2"/>
  <c r="F72" i="2" s="1"/>
  <c r="G55" i="2"/>
  <c r="G72" i="2" s="1"/>
  <c r="G79" i="2"/>
  <c r="G77" i="2" s="1"/>
  <c r="AF55" i="2"/>
  <c r="AF72" i="2" s="1"/>
  <c r="AF79" i="2"/>
  <c r="AF77" i="2" s="1"/>
  <c r="I100" i="2"/>
  <c r="I104" i="2"/>
  <c r="Q100" i="2"/>
  <c r="Q104" i="2"/>
  <c r="E104" i="2"/>
  <c r="E100" i="2"/>
  <c r="K100" i="2"/>
  <c r="K104" i="2"/>
  <c r="S55" i="2"/>
  <c r="S72" i="2" s="1"/>
  <c r="S79" i="2"/>
  <c r="S77" i="2" s="1"/>
  <c r="Q79" i="2"/>
  <c r="Q77" i="2" s="1"/>
  <c r="Q55" i="2"/>
  <c r="Q72" i="2" s="1"/>
  <c r="AC100" i="2"/>
  <c r="AC104" i="2"/>
  <c r="Z100" i="2"/>
  <c r="Z104" i="2"/>
  <c r="L104" i="2"/>
  <c r="L100" i="2"/>
  <c r="T73" i="2" l="1"/>
  <c r="T82" i="2"/>
  <c r="T74" i="2"/>
  <c r="T75" i="2" s="1"/>
  <c r="T95" i="2" s="1"/>
  <c r="Q82" i="2"/>
  <c r="Q73" i="2"/>
  <c r="Q74" i="2"/>
  <c r="Q75" i="2" s="1"/>
  <c r="Q95" i="2" s="1"/>
  <c r="K82" i="2"/>
  <c r="K73" i="2"/>
  <c r="K74" i="2"/>
  <c r="K75" i="2" s="1"/>
  <c r="K95" i="2" s="1"/>
  <c r="AE101" i="2"/>
  <c r="AE102" i="2" s="1"/>
  <c r="AE103" i="2"/>
  <c r="AC82" i="2"/>
  <c r="AC73" i="2"/>
  <c r="AC74" i="2"/>
  <c r="AC75" i="2" s="1"/>
  <c r="AC95" i="2" s="1"/>
  <c r="W82" i="2"/>
  <c r="W73" i="2"/>
  <c r="W74" i="2"/>
  <c r="W75" i="2" s="1"/>
  <c r="W95" i="2" s="1"/>
  <c r="N101" i="2"/>
  <c r="N102" i="2" s="1"/>
  <c r="N103" i="2"/>
  <c r="AG73" i="2"/>
  <c r="AG82" i="2"/>
  <c r="AG74" i="2"/>
  <c r="AG75" i="2" s="1"/>
  <c r="AG95" i="2" s="1"/>
  <c r="O101" i="2"/>
  <c r="O102" i="2" s="1"/>
  <c r="O103" i="2"/>
  <c r="I82" i="2"/>
  <c r="I73" i="2"/>
  <c r="I74" i="2"/>
  <c r="I75" i="2" s="1"/>
  <c r="I95" i="2" s="1"/>
  <c r="N82" i="2"/>
  <c r="N73" i="2"/>
  <c r="N74" i="2"/>
  <c r="N75" i="2" s="1"/>
  <c r="N95" i="2" s="1"/>
  <c r="AC103" i="2"/>
  <c r="AC101" i="2"/>
  <c r="AC102" i="2" s="1"/>
  <c r="R103" i="2"/>
  <c r="R101" i="2"/>
  <c r="R102" i="2" s="1"/>
  <c r="G73" i="2"/>
  <c r="G82" i="2"/>
  <c r="G74" i="2"/>
  <c r="G75" i="2" s="1"/>
  <c r="G95" i="2" s="1"/>
  <c r="F73" i="2"/>
  <c r="F82" i="2"/>
  <c r="F74" i="2"/>
  <c r="F75" i="2" s="1"/>
  <c r="F95" i="2" s="1"/>
  <c r="AA73" i="2"/>
  <c r="AA82" i="2"/>
  <c r="AA74" i="2"/>
  <c r="AA75" i="2" s="1"/>
  <c r="AA95" i="2" s="1"/>
  <c r="R73" i="2"/>
  <c r="R82" i="2"/>
  <c r="R74" i="2"/>
  <c r="R75" i="2" s="1"/>
  <c r="R95" i="2" s="1"/>
  <c r="O82" i="2"/>
  <c r="O73" i="2"/>
  <c r="O74" i="2"/>
  <c r="O75" i="2" s="1"/>
  <c r="O95" i="2" s="1"/>
  <c r="AE73" i="2"/>
  <c r="AE82" i="2"/>
  <c r="AE74" i="2"/>
  <c r="AE75" i="2" s="1"/>
  <c r="AE95" i="2" s="1"/>
  <c r="Y73" i="2"/>
  <c r="Y82" i="2"/>
  <c r="Y74" i="2"/>
  <c r="Y75" i="2" s="1"/>
  <c r="Y95" i="2" s="1"/>
  <c r="Z82" i="2"/>
  <c r="Z73" i="2"/>
  <c r="Z74" i="2"/>
  <c r="Z75" i="2" s="1"/>
  <c r="Z95" i="2" s="1"/>
  <c r="U73" i="2"/>
  <c r="U82" i="2"/>
  <c r="U74" i="2"/>
  <c r="U75" i="2" s="1"/>
  <c r="U95" i="2" s="1"/>
  <c r="AG101" i="2"/>
  <c r="AG102" i="2" s="1"/>
  <c r="AG103" i="2"/>
  <c r="AD103" i="2"/>
  <c r="AD101" i="2"/>
  <c r="AD102" i="2" s="1"/>
  <c r="W103" i="2"/>
  <c r="W101" i="2"/>
  <c r="W102" i="2" s="1"/>
  <c r="H82" i="2"/>
  <c r="H73" i="2"/>
  <c r="H74" i="2"/>
  <c r="H75" i="2" s="1"/>
  <c r="H95" i="2" s="1"/>
  <c r="AF103" i="2"/>
  <c r="AF101" i="2"/>
  <c r="AF102" i="2" s="1"/>
  <c r="Y101" i="2"/>
  <c r="Y102" i="2" s="1"/>
  <c r="Y103" i="2"/>
  <c r="M82" i="2"/>
  <c r="M73" i="2"/>
  <c r="M74" i="2"/>
  <c r="M75" i="2" s="1"/>
  <c r="M95" i="2" s="1"/>
  <c r="U101" i="2"/>
  <c r="U102" i="2" s="1"/>
  <c r="U103" i="2"/>
  <c r="L101" i="2"/>
  <c r="L102" i="2" s="1"/>
  <c r="L103" i="2"/>
  <c r="T101" i="2"/>
  <c r="T102" i="2" s="1"/>
  <c r="T103" i="2"/>
  <c r="I103" i="2"/>
  <c r="I101" i="2"/>
  <c r="I102" i="2" s="1"/>
  <c r="K103" i="2"/>
  <c r="K101" i="2"/>
  <c r="K102" i="2" s="1"/>
  <c r="AA101" i="2"/>
  <c r="AA102" i="2" s="1"/>
  <c r="AA103" i="2"/>
  <c r="M101" i="2"/>
  <c r="M102" i="2" s="1"/>
  <c r="M103" i="2"/>
  <c r="AD82" i="2"/>
  <c r="AD73" i="2"/>
  <c r="AD74" i="2"/>
  <c r="AD75" i="2" s="1"/>
  <c r="AD95" i="2" s="1"/>
  <c r="G101" i="2"/>
  <c r="G102" i="2" s="1"/>
  <c r="G103" i="2"/>
  <c r="X101" i="2"/>
  <c r="X102" i="2" s="1"/>
  <c r="X103" i="2"/>
  <c r="Q101" i="2"/>
  <c r="Q102" i="2" s="1"/>
  <c r="Q103" i="2"/>
  <c r="F103" i="2"/>
  <c r="F101" i="2"/>
  <c r="F102" i="2" s="1"/>
  <c r="S82" i="2"/>
  <c r="S73" i="2"/>
  <c r="S74" i="2"/>
  <c r="S75" i="2" s="1"/>
  <c r="S95" i="2" s="1"/>
  <c r="Z101" i="2"/>
  <c r="Z102" i="2" s="1"/>
  <c r="Z103" i="2"/>
  <c r="E103" i="2"/>
  <c r="E101" i="2"/>
  <c r="E102" i="2" s="1"/>
  <c r="AF82" i="2"/>
  <c r="AF73" i="2"/>
  <c r="AF74" i="2"/>
  <c r="AF75" i="2" s="1"/>
  <c r="AF95" i="2" s="1"/>
  <c r="S103" i="2"/>
  <c r="S101" i="2"/>
  <c r="S102" i="2" s="1"/>
  <c r="L82" i="2"/>
  <c r="L73" i="2"/>
  <c r="L74" i="2"/>
  <c r="L75" i="2" s="1"/>
  <c r="L95" i="2" s="1"/>
  <c r="H103" i="2"/>
  <c r="H101" i="2"/>
  <c r="H102" i="2" s="1"/>
  <c r="E82" i="2"/>
  <c r="E73" i="2"/>
  <c r="E74" i="2"/>
  <c r="X73" i="2"/>
  <c r="X82" i="2"/>
  <c r="X74" i="2"/>
  <c r="X75" i="2" s="1"/>
  <c r="X95" i="2" s="1"/>
  <c r="Z83" i="2" l="1"/>
  <c r="Z84" i="2"/>
  <c r="Z85" i="2" s="1"/>
  <c r="AF83" i="2"/>
  <c r="AF84" i="2"/>
  <c r="AF85" i="2" s="1"/>
  <c r="S83" i="2"/>
  <c r="S84" i="2"/>
  <c r="S85" i="2" s="1"/>
  <c r="S94" i="2" s="1"/>
  <c r="O83" i="2"/>
  <c r="O84" i="2"/>
  <c r="O85" i="2" s="1"/>
  <c r="F83" i="2"/>
  <c r="F84" i="2"/>
  <c r="F85" i="2" s="1"/>
  <c r="W83" i="2"/>
  <c r="W84" i="2"/>
  <c r="W85" i="2" s="1"/>
  <c r="K83" i="2"/>
  <c r="K84" i="2"/>
  <c r="K85" i="2" s="1"/>
  <c r="Y83" i="2"/>
  <c r="Y84" i="2"/>
  <c r="Y85" i="2" s="1"/>
  <c r="X83" i="2"/>
  <c r="X84" i="2"/>
  <c r="X85" i="2" s="1"/>
  <c r="R83" i="2"/>
  <c r="R84" i="2"/>
  <c r="R85" i="2" s="1"/>
  <c r="R94" i="2" s="1"/>
  <c r="AG83" i="2"/>
  <c r="AG84" i="2"/>
  <c r="AG85" i="2" s="1"/>
  <c r="E75" i="2"/>
  <c r="L83" i="2"/>
  <c r="L84" i="2"/>
  <c r="L85" i="2" s="1"/>
  <c r="AD83" i="2"/>
  <c r="AD84" i="2"/>
  <c r="AD85" i="2" s="1"/>
  <c r="H83" i="2"/>
  <c r="H84" i="2"/>
  <c r="H85" i="2" s="1"/>
  <c r="U83" i="2"/>
  <c r="U84" i="2"/>
  <c r="U85" i="2" s="1"/>
  <c r="U94" i="2" s="1"/>
  <c r="G83" i="2"/>
  <c r="G84" i="2"/>
  <c r="G85" i="2" s="1"/>
  <c r="N83" i="2"/>
  <c r="N84" i="2"/>
  <c r="N85" i="2" s="1"/>
  <c r="AC83" i="2"/>
  <c r="AC84" i="2"/>
  <c r="AC85" i="2" s="1"/>
  <c r="Q83" i="2"/>
  <c r="Q84" i="2"/>
  <c r="Q85" i="2" s="1"/>
  <c r="M83" i="2"/>
  <c r="M84" i="2"/>
  <c r="M85" i="2" s="1"/>
  <c r="AE83" i="2"/>
  <c r="AE84" i="2"/>
  <c r="AE85" i="2" s="1"/>
  <c r="E83" i="2"/>
  <c r="E84" i="2"/>
  <c r="AA83" i="2"/>
  <c r="AA84" i="2"/>
  <c r="AA85" i="2" s="1"/>
  <c r="T83" i="2"/>
  <c r="T84" i="2"/>
  <c r="T85" i="2" s="1"/>
  <c r="T94" i="2" s="1"/>
  <c r="I83" i="2"/>
  <c r="I84" i="2"/>
  <c r="I85" i="2" s="1"/>
  <c r="Y94" i="2" l="1"/>
  <c r="F52" i="10"/>
  <c r="H50" i="10"/>
  <c r="O94" i="2"/>
  <c r="E85" i="2"/>
  <c r="E95" i="2"/>
  <c r="H94" i="2"/>
  <c r="G49" i="10"/>
  <c r="D50" i="10"/>
  <c r="K94" i="2"/>
  <c r="AC94" i="2"/>
  <c r="D53" i="10"/>
  <c r="H53" i="10"/>
  <c r="AG94" i="2"/>
  <c r="I94" i="2"/>
  <c r="H49" i="10"/>
  <c r="Q94" i="2"/>
  <c r="D51" i="10" a="1"/>
  <c r="D51" i="10" s="1"/>
  <c r="N94" i="2"/>
  <c r="G50" i="10"/>
  <c r="D52" i="10"/>
  <c r="W94" i="2"/>
  <c r="G53" i="10"/>
  <c r="AF94" i="2"/>
  <c r="F53" i="10"/>
  <c r="AE94" i="2"/>
  <c r="E53" i="10"/>
  <c r="AD94" i="2"/>
  <c r="E50" i="10"/>
  <c r="L94" i="2"/>
  <c r="E49" i="10"/>
  <c r="F94" i="2"/>
  <c r="G52" i="10"/>
  <c r="Z94" i="2"/>
  <c r="M94" i="2"/>
  <c r="F50" i="10"/>
  <c r="G94" i="2"/>
  <c r="F49" i="10"/>
  <c r="X94" i="2"/>
  <c r="E52" i="10"/>
  <c r="H52" i="10"/>
  <c r="AA94" i="2"/>
  <c r="E94" i="2" l="1"/>
  <c r="D49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Jochen Rivoir</author>
  </authors>
  <commentList>
    <comment ref="AK78" authorId="0" shapeId="0" xr:uid="{63C1DD68-EB48-4612-B7AC-978322352A94}">
      <text>
        <r>
          <rPr>
            <b/>
            <sz val="9"/>
            <color indexed="81"/>
            <rFont val="Tahoma"/>
            <family val="2"/>
          </rPr>
          <t>Jochen Rivoir:</t>
        </r>
        <r>
          <rPr>
            <sz val="9"/>
            <color indexed="81"/>
            <rFont val="Tahoma"/>
            <family val="2"/>
          </rPr>
          <t xml:space="preserve">
+1 für Allgemeinstrom
-2 für Hauptzähler (Bezug + Einspeisung)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<sst xmlns="http://schemas.openxmlformats.org/spreadsheetml/2006/main" count="391" uniqueCount="236">
  <si>
    <t>kWp</t>
  </si>
  <si>
    <t>Jahre</t>
  </si>
  <si>
    <t>/kWh</t>
  </si>
  <si>
    <t>Amortisationszeit</t>
  </si>
  <si>
    <t>Eingespeister Strom</t>
  </si>
  <si>
    <t>kWh/Jahr</t>
  </si>
  <si>
    <t>/Jahr</t>
  </si>
  <si>
    <t>Volleinspeisung</t>
  </si>
  <si>
    <t>PV Kosten</t>
  </si>
  <si>
    <t>Anschaffungskosten</t>
  </si>
  <si>
    <t>kWh</t>
  </si>
  <si>
    <t>Teileinspeisung</t>
  </si>
  <si>
    <t>Vermiedene CO2 Emissionen</t>
  </si>
  <si>
    <t>Umweltbundesamt</t>
  </si>
  <si>
    <t>Waldfläche (CO2-äquivalent)</t>
  </si>
  <si>
    <t>Stiftung Unternehmen Wald</t>
  </si>
  <si>
    <t>/kWp</t>
  </si>
  <si>
    <t>PV Nennleistung</t>
  </si>
  <si>
    <t>Einspeisevergütung pro kWh</t>
  </si>
  <si>
    <t>Für weitere Szenarien:</t>
  </si>
  <si>
    <t>Für kollektive Selbstversorgung</t>
  </si>
  <si>
    <t>Für Allgemeinstrom Modell</t>
  </si>
  <si>
    <t>Für Volleinspeisung</t>
  </si>
  <si>
    <t>Speicherkapazität</t>
  </si>
  <si>
    <t>Speicherkapazität * Kosten pro kWh</t>
  </si>
  <si>
    <t>Strommengen</t>
  </si>
  <si>
    <t>Von oben</t>
  </si>
  <si>
    <t>PV-Anlage</t>
  </si>
  <si>
    <t>0 - 10 kWp</t>
  </si>
  <si>
    <t>10 - 40 kWp</t>
  </si>
  <si>
    <t>40 - 100 kWp</t>
  </si>
  <si>
    <t>Vergütung</t>
  </si>
  <si>
    <t>Anteil an PV Nennleistung</t>
  </si>
  <si>
    <t>€/kWh</t>
  </si>
  <si>
    <t>bsw_verguetungssaetze_aktuell.pdf (solarwirtschaft.de)</t>
  </si>
  <si>
    <t>Direktvermarktung</t>
  </si>
  <si>
    <t>Siehe oben</t>
  </si>
  <si>
    <t>Durchschnittlicher CO₂-Fußabdruck pro Kopf in Deutschland | Umweltbundesamt</t>
  </si>
  <si>
    <t>qm Wald/kg CO2/Jahr</t>
  </si>
  <si>
    <t>kg CO2/Person/Jahr</t>
  </si>
  <si>
    <t>kWh/100 km</t>
  </si>
  <si>
    <t>Umweltbilanz von Elektrofahrzeugen – Potenziale der Kreislaufwirtschaft - FfE</t>
  </si>
  <si>
    <t>kg CO2/kWh</t>
  </si>
  <si>
    <t>kWh/Jahr/kWp</t>
  </si>
  <si>
    <t>Jahren</t>
  </si>
  <si>
    <t>Netzbezug</t>
  </si>
  <si>
    <t>CO2 Belastung durch Speicher (über 20 Jahre)</t>
  </si>
  <si>
    <t>kg CO2/Jahr</t>
  </si>
  <si>
    <t>qm Wald</t>
  </si>
  <si>
    <t>Personen</t>
  </si>
  <si>
    <t>km/Jahr</t>
  </si>
  <si>
    <t>Beitrag zum Klimaschutz</t>
  </si>
  <si>
    <t>Für Fahrt mit E-Auto</t>
  </si>
  <si>
    <t>Vermiedener Pro-Kopf CO2-Fußabdruck</t>
  </si>
  <si>
    <t>Objekt</t>
  </si>
  <si>
    <t>Datum der Inbetriebnahme</t>
  </si>
  <si>
    <t>Beeinflusst die Einspeisevergütung</t>
  </si>
  <si>
    <t>Fixe Sätze für Einspeisevergütung</t>
  </si>
  <si>
    <t>Sätze bis</t>
  </si>
  <si>
    <t>Ende Jan 2024</t>
  </si>
  <si>
    <t>Sätze am</t>
  </si>
  <si>
    <t>Halbjahre nach</t>
  </si>
  <si>
    <t>p.a.</t>
  </si>
  <si>
    <t>qm/Fußballfeld</t>
  </si>
  <si>
    <t>Fussballfelder</t>
  </si>
  <si>
    <t>/kWh/Jahr</t>
  </si>
  <si>
    <t>Autarkiegrad</t>
  </si>
  <si>
    <t>Allgemeinstromverbrauch</t>
  </si>
  <si>
    <t>Eingabefeld</t>
  </si>
  <si>
    <t>Zinsen</t>
  </si>
  <si>
    <t>Fall A) Einmalige Sonderumlage</t>
  </si>
  <si>
    <t>Fall B) Rücklagenrückführung in</t>
  </si>
  <si>
    <t>Wirtschaftlichkeit</t>
  </si>
  <si>
    <t>/Wohnung</t>
  </si>
  <si>
    <t>/Monat/Wohnung</t>
  </si>
  <si>
    <t>Äquivalente Verzinsung</t>
  </si>
  <si>
    <t>Name des Objekt</t>
  </si>
  <si>
    <t>Zählerstruktur ändern? (0 = Nein, 1 = Ja)</t>
  </si>
  <si>
    <t>Anzahl Wohneinheiten</t>
  </si>
  <si>
    <t>Wohneinheiten</t>
  </si>
  <si>
    <t>PV-Nennleistung</t>
  </si>
  <si>
    <t>Gesamtstromverbrauch</t>
  </si>
  <si>
    <t>Erzeugter PV Strom / Gesamtstromverbrauch</t>
  </si>
  <si>
    <t>Nutzen durch Einspeisung (N2)</t>
  </si>
  <si>
    <t>von Anschaffung/Jahr</t>
  </si>
  <si>
    <t>Selbstbewohnte Wohnung</t>
  </si>
  <si>
    <t>Vermietete Wohnung</t>
  </si>
  <si>
    <t>Spezifischer Energieertrag</t>
  </si>
  <si>
    <t>Siehe Blatt "Hinweise"</t>
  </si>
  <si>
    <t>Der Energieertrag hängt von Standort, Ausrichtung und Aufstellwinkel ab.</t>
  </si>
  <si>
    <t>JRC Photovoltaic Geographical Information System (PVGIS) - European Commission (europa.eu)</t>
  </si>
  <si>
    <t>Auf der Karte links den Standort der PV-Anlage anklicken.</t>
  </si>
  <si>
    <t>Bei "Installed PV peak power [kWp]" den Wert 1 eingeben.</t>
  </si>
  <si>
    <t>"Optimize Slope" anklicken.</t>
  </si>
  <si>
    <t>Den blauen Knopf "Visualize results" anklicken.</t>
  </si>
  <si>
    <t>Links unten den Wert für "Yearly PV energy production [kWh]" ablesen und im Wirtschaftlichkeitsrechner unter "Spezifischer Energieertrag" eintragen.</t>
  </si>
  <si>
    <t>/Jahr/Wohnung</t>
  </si>
  <si>
    <t>Messpreise für Einspeiser nach dem Kraft-Wärme-Kopplungsgesetz 01.01.2022 (ctfassets.net)</t>
  </si>
  <si>
    <t>Laut Netze BW im August 2024</t>
  </si>
  <si>
    <t>Abhängig von PV-Nennleistung, Teil- bzw Volleinspeisung und Datum der Inbetriebnahme</t>
  </si>
  <si>
    <t>Tilgung und Zinsen werden mit Nutzen bezahlt</t>
  </si>
  <si>
    <t xml:space="preserve">https://www.verivox.de/strom/ </t>
  </si>
  <si>
    <t>Kosten für Umbau der Zählerstruktur</t>
  </si>
  <si>
    <t>Nutzen * 20</t>
  </si>
  <si>
    <t>Finanzierung für Wohnung mit durchschnittlichen Miteigentumsanteilen</t>
  </si>
  <si>
    <t>Fall C) Tilgungsdauer eines Kredits mit</t>
  </si>
  <si>
    <t>Spalten einfügen und ähnliche Spalte kopieren</t>
  </si>
  <si>
    <t>Wirtschaftlichkeitsrechner für PV auf Mehrfamilienhäusern</t>
  </si>
  <si>
    <t>Konservative Annahmen</t>
  </si>
  <si>
    <t>Keine Steigerung des Strompreises</t>
  </si>
  <si>
    <t>Nutzungsdauer endet nach 20 Jahren</t>
  </si>
  <si>
    <t>Stromverbrauch der Wohnungen</t>
  </si>
  <si>
    <t>Hängt von Standort, Ausrichtung und Aufstellwinkel ab.</t>
  </si>
  <si>
    <t>Spezifischer Energieertrag im ersten Jahr</t>
  </si>
  <si>
    <t>Erzeugter PV Strom (Durchschnitt während der Nutzungsdauer)</t>
  </si>
  <si>
    <t>Er wird von PV Software berechnet oder mithilfe des folgenden Links ermittelt:</t>
  </si>
  <si>
    <t>PV Nennleistung *  (1 - Mittlere Degradation) * Spezifischer Energieertrag</t>
  </si>
  <si>
    <t>Mittlere Degradation der PV Nennleistung</t>
  </si>
  <si>
    <t>Gemittelt über die Nutzungsdauer von 20 Jahren</t>
  </si>
  <si>
    <t>Nutzen in 20 Jahren für durchschnittlich große Wohnung</t>
  </si>
  <si>
    <t>Szenario 1</t>
  </si>
  <si>
    <t>Anteil der Anschaffungskosten für durchschnittlich große Wohnung</t>
  </si>
  <si>
    <t>Siehe "Ausgabeblatt" für Zusammenfassung wichtiger Annahmen und Ergebnisse</t>
  </si>
  <si>
    <t>Wartung, Versicherung, Reinigung, Reparatur</t>
  </si>
  <si>
    <t>Maßgeblicher Jahresverbrauch = Gesamtverbrauch</t>
  </si>
  <si>
    <t>Maßgeblicher Jahresverbrauch = Allgemeinstromverbrauch</t>
  </si>
  <si>
    <t>Maßgeblicher Jahresverbrauch = 0. Einspeisevergütung wird automatisch richtig gewählt.</t>
  </si>
  <si>
    <t>Rendite (Steuerfrei) bei 20 Jahren Nutzungsdauer</t>
  </si>
  <si>
    <t>Rendite (steuerfrei) bei 20 Jahren Nutzungsdauer</t>
  </si>
  <si>
    <t>Spezifische PV Kosten</t>
  </si>
  <si>
    <t>"Azimuth" eingeben. 0 für Ausrichtung nach Süden, -90 für Osten, +90 für Westen</t>
  </si>
  <si>
    <t>Bilanzielle Autarkie</t>
  </si>
  <si>
    <t>Ertragseinbuße wegen verspäteter Einspeisevergütung nach negativen Strompreisen</t>
  </si>
  <si>
    <t>Siehe "Einspeisevergütung" im Leitfaden</t>
  </si>
  <si>
    <t>Einspeisevergütung * Eingespeister Strom * (1-Ertragseinbuße)</t>
  </si>
  <si>
    <t>Internetzugang</t>
  </si>
  <si>
    <t>Fixe Kosten (Gerüst, Leitungen, Inbetriebnahme)</t>
  </si>
  <si>
    <t>/Jahr, ab 4 Wohnungen</t>
  </si>
  <si>
    <t>kWh/Jahr je Wohnung</t>
  </si>
  <si>
    <t>Für Module, Wechselrichter, Montage</t>
  </si>
  <si>
    <t>Weitere einmalige Kosten</t>
  </si>
  <si>
    <t>Nutzen nur im Mieterstrommodell (N3)</t>
  </si>
  <si>
    <t>Nutzen = N1 + N2 + N3 - K</t>
  </si>
  <si>
    <t>Grundgebühren von Mietern, Mieterstromzuschlag</t>
  </si>
  <si>
    <t>/Jahr/</t>
  </si>
  <si>
    <t>nur ab 4 Wohnungen</t>
  </si>
  <si>
    <t>Betriebsmodell</t>
  </si>
  <si>
    <t>Einzählermodell</t>
  </si>
  <si>
    <t>Einzelanlagen</t>
  </si>
  <si>
    <t>Mieterstrom</t>
  </si>
  <si>
    <t>Allgemeinstrom</t>
  </si>
  <si>
    <t>GGV</t>
  </si>
  <si>
    <t>Betriebsmodelle</t>
  </si>
  <si>
    <t>Aus Liste auswählen</t>
  </si>
  <si>
    <t>Grundgebühren der Wohnungsstromverträge</t>
  </si>
  <si>
    <t>Direktverbrauchsquote</t>
  </si>
  <si>
    <t>Direktverbrauch</t>
  </si>
  <si>
    <t>Direktverbrauch / Gesamtstromverbrauch</t>
  </si>
  <si>
    <t>Gesamtstromverbrauch - Direktverbrauch</t>
  </si>
  <si>
    <t>Erzeugter Strom - Direktverbrauch</t>
  </si>
  <si>
    <t>Direktverbrauchsquote (Anteil des selbst verbrauchten Stroms am PV-Strom)</t>
  </si>
  <si>
    <t>Nutzen durch Direktverbrauch (N1)</t>
  </si>
  <si>
    <t>Direktverbrauch * Strompreis</t>
  </si>
  <si>
    <t>Mieterstromzuschlag auf Direktverbrauch</t>
  </si>
  <si>
    <t>Maßgeblicher Jahresverbrauch als Basis für Direktverbrauch</t>
  </si>
  <si>
    <t>Copyright © Jochen Rivoir</t>
  </si>
  <si>
    <t>Anpassungen sind erlaubt. Der Copyright Hinweis darf nicht entfernt werden.</t>
  </si>
  <si>
    <t>Direktverbrauch / Erzeugter Strom</t>
  </si>
  <si>
    <t>Typischer Wert für 10 Wohneinheiten</t>
  </si>
  <si>
    <t>Verwendung nur ohne kommerzielle Interessen.</t>
  </si>
  <si>
    <t>Beachten Sie die Hinweise m Leitfaden "PV für WEGs"</t>
  </si>
  <si>
    <t>Kapitel 2.2 wenn Sie eine grobe Voruntersuchung durchführen.</t>
  </si>
  <si>
    <t>Kapitel 3.6 wenn Sie die Wirtschaftlichkeit auf Basis eine Angebots berechnen möchten.</t>
  </si>
  <si>
    <t>Kapitel 4.2 für generelle Überlegungen zur Wirtschaftlichkeit.</t>
  </si>
  <si>
    <t>Hilfestellungen finden Sie im Blatt "Hinweise" und im Leitfaden Kapitel 4.2</t>
  </si>
  <si>
    <t>https://pv4wegs.de</t>
  </si>
  <si>
    <t>Nur für Mieterstrommodell</t>
  </si>
  <si>
    <t>Zählermiete für Wohnungen</t>
  </si>
  <si>
    <t>Nur Kosten, die durch die PV-Anlage verursacht werden.</t>
  </si>
  <si>
    <t>Betriebskosten (K)</t>
  </si>
  <si>
    <t>Anschaffung / (Nutzen abzgl. Betriebskosten)</t>
  </si>
  <si>
    <t>Strompreis des eingekauften Stroms</t>
  </si>
  <si>
    <t>Strompreis, den die WEG erhält</t>
  </si>
  <si>
    <t>Nutzen durch günstigeren PV-Strom bei Mieterstrom / GGV</t>
  </si>
  <si>
    <t>Nutzen durch gesparte Grundgebühren</t>
  </si>
  <si>
    <t>Nutzen = Nutzen Vermieter + Nutzen Bewohner</t>
  </si>
  <si>
    <t>Vergünstigung PV-Strom für die Wohnungen</t>
  </si>
  <si>
    <t>Nutzen für Vermieter (Summe aller Wohnungen)</t>
  </si>
  <si>
    <t>Nutzen für Bewohner (Summe aller Wohnungen)</t>
  </si>
  <si>
    <t>Nutzen für Eigennutzer (Summe aller Wohnungen)</t>
  </si>
  <si>
    <t>Speicher-Verbrauchsquotient (SVQ)</t>
  </si>
  <si>
    <t>SVQ = Speichergröße in kWh / Verbrauch in MWh/Jahr</t>
  </si>
  <si>
    <t>Bilanzielle Autarkie = Jahresstromertrag / Jahresstromverbrauch</t>
  </si>
  <si>
    <t>Gesamtstromverbrauch * Direktverbrauchsquote</t>
  </si>
  <si>
    <t>Für Direktverbrauchsquote</t>
  </si>
  <si>
    <t>Einfamilienhaus (1 WE)</t>
  </si>
  <si>
    <t>Ausrichtung:</t>
  </si>
  <si>
    <t>Ost-West</t>
  </si>
  <si>
    <t>Dachneigung: 40°</t>
  </si>
  <si>
    <t>Größe der PV-Anlage [Bilanzielle Autarkie]</t>
  </si>
  <si>
    <t>Größe des Speichers (SVQ)</t>
  </si>
  <si>
    <t>Mehrfamilienhaus "Herrschaftsgarten" mit 11 WE</t>
  </si>
  <si>
    <t>Unser Mehrfamilienhaus (Interpoliert)</t>
  </si>
  <si>
    <t>Interpolation zwischen 1 und 11 Wohneinheiten (WE)</t>
  </si>
  <si>
    <t>Wie MFH</t>
  </si>
  <si>
    <t>Anhand von bilanzieller Autarkie und SVQ im Blatt "Direktverbrauchsquote"</t>
  </si>
  <si>
    <t>Das sind die blauen Werte im Blatt "Eingaben und Berechnung".</t>
  </si>
  <si>
    <t>Interne Berechnungen unterhalb dieser Linie</t>
  </si>
  <si>
    <t>Anzahl WE</t>
  </si>
  <si>
    <t>(1) der bilanziellen Autarkie (Waagrechte Achse)</t>
  </si>
  <si>
    <t>Anhand Wurzel(WE)</t>
  </si>
  <si>
    <t>manuell anhand von Blatt "Direktverbrauchsquote"</t>
  </si>
  <si>
    <t>(2) SVQ = Speicher-Verbrauchsquotient (Kurvenschar)</t>
  </si>
  <si>
    <t xml:space="preserve">Lesen Sie aus der Grafik unten die Direktverbrauchsquote ab anhand </t>
  </si>
  <si>
    <t>Nur bei Mieterstrom, GGV</t>
  </si>
  <si>
    <t>Messstellenbetrieb für Wandlermessung</t>
  </si>
  <si>
    <t>Hardware oder Projektkosten, für Objekt und für die Wohnungen</t>
  </si>
  <si>
    <t>Speicherkosten</t>
  </si>
  <si>
    <t>Zusätzlicher zukünftiger Stromverbrauch (z.B. E-Autos oder Wärmepumpe)</t>
  </si>
  <si>
    <t>Weitere Betriebskosten für Abrechnung etc.</t>
  </si>
  <si>
    <t>Bei GGV: Gebühren für das Objekt und für die Wohnungen</t>
  </si>
  <si>
    <t>Grundgebühr für Mieterstrom / GGV</t>
  </si>
  <si>
    <t>Herrschaftsgarten</t>
  </si>
  <si>
    <t>BL</t>
  </si>
  <si>
    <t>SVQ</t>
  </si>
  <si>
    <t>Rendite für Vermieter</t>
  </si>
  <si>
    <t>Anzahl Wohnungen</t>
  </si>
  <si>
    <t>BA = 0,5</t>
  </si>
  <si>
    <t>BA = 0,75</t>
  </si>
  <si>
    <t>BA = 1</t>
  </si>
  <si>
    <t>BA = 1,25</t>
  </si>
  <si>
    <t>BA = 1,5</t>
  </si>
  <si>
    <t>Weitere Eingaben in Spalte C des Blatts "Eingaben und Berechnung"</t>
  </si>
  <si>
    <t>BA = Bilanzielle Autarkie = Jahresstromertrag / Jahresstromverbrauch; misst die relative Größe der PV-Anlage</t>
  </si>
  <si>
    <t>SVQ = Speicher-Verbrauchsquotient; misst die relative Größe des Speichers</t>
  </si>
  <si>
    <t>Stand 16.12.2025, Angaben ohne Gewähr.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</si>
</sst>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#,##0\ &quot;€&quot;;[Red]\-#,##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  <numFmt numFmtId="165" formatCode="_-* #,##0\ &quot;€&quot;_-;\-* #,##0\ &quot;€&quot;_-;_-* &quot;-&quot;??\ &quot;€&quot;_-;_-@_-"/>
    <numFmt numFmtId="166" formatCode="_-* #,##0.000\ &quot;€&quot;_-;\-* #,##0.000\ &quot;€&quot;_-;_-* &quot;-&quot;??\ &quot;€&quot;_-;_-@_-"/>
    <numFmt numFmtId="167" formatCode="_-* #,##0.0_-;\-* #,##0.0_-;_-* &quot;-&quot;??_-;_-@_-"/>
    <numFmt numFmtId="168" formatCode="0.0%"/>
    <numFmt numFmtId="169" formatCode="0.0"/>
    <numFmt numFmtId="170" formatCode="_-* #,##0.0000\ &quot;€&quot;_-;\-* #,##0.0000\ &quot;€&quot;_-;_-* &quot;-&quot;???\ &quot;€&quot;_-;_-@_-"/>
    <numFmt numFmtId="171" formatCode="_-* #,##0.000_-;\-* #,##0.000_-;_-* &quot;-&quot;??_-;_-@_-"/>
    <numFmt numFmtId="172" formatCode="[$-407]mmmm\ yy;@"/>
    <numFmt numFmtId="174" formatCode="#,##0.000\ &quot;€&quot;;[Red]\-#,##0.000\ &quot;€&quot;"/>
    <numFmt numFmtId="175" formatCode="#,##0\ &quot;€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64">
    <xf numFmtId="0" fontId="0" fillId="0" borderId="0" xfId="0"/>
    <xf numFmtId="164" fontId="0" fillId="0" borderId="0" xfId="1" applyNumberFormat="1" applyFont="1"/>
    <xf numFmtId="0" fontId="0" fillId="0" borderId="0" xfId="0" quotePrefix="1"/>
    <xf numFmtId="166" fontId="0" fillId="0" borderId="0" xfId="2" applyNumberFormat="1" applyFont="1"/>
    <xf numFmtId="0" fontId="3" fillId="0" borderId="0" xfId="0" applyFont="1"/>
    <xf numFmtId="0" fontId="6" fillId="0" borderId="0" xfId="0" applyFont="1"/>
    <xf numFmtId="0" fontId="0" fillId="0" borderId="0" xfId="2" applyNumberFormat="1" applyFont="1"/>
    <xf numFmtId="0" fontId="0" fillId="0" borderId="0" xfId="1" applyNumberFormat="1" applyFont="1" applyBorder="1" applyAlignment="1">
      <alignment horizontal="left"/>
    </xf>
    <xf numFmtId="164" fontId="0" fillId="0" borderId="0" xfId="1" applyNumberFormat="1" applyFont="1" applyFill="1" applyBorder="1"/>
    <xf numFmtId="165" fontId="0" fillId="0" borderId="0" xfId="2" applyNumberFormat="1" applyFont="1" applyFill="1" applyBorder="1"/>
    <xf numFmtId="0" fontId="0" fillId="0" borderId="0" xfId="0" applyAlignment="1">
      <alignment horizontal="right"/>
    </xf>
    <xf numFmtId="0" fontId="0" fillId="4" borderId="0" xfId="0" applyFill="1"/>
    <xf numFmtId="0" fontId="0" fillId="4" borderId="1" xfId="0" applyFill="1" applyBorder="1"/>
    <xf numFmtId="164" fontId="0" fillId="4" borderId="1" xfId="1" applyNumberFormat="1" applyFont="1" applyFill="1" applyBorder="1"/>
    <xf numFmtId="0" fontId="7" fillId="0" borderId="0" xfId="0" applyFont="1"/>
    <xf numFmtId="0" fontId="4" fillId="0" borderId="0" xfId="0" applyFont="1"/>
    <xf numFmtId="164" fontId="4" fillId="0" borderId="0" xfId="1" applyNumberFormat="1" applyFont="1"/>
    <xf numFmtId="0" fontId="6" fillId="0" borderId="0" xfId="0" applyFont="1" applyAlignment="1">
      <alignment horizontal="left"/>
    </xf>
    <xf numFmtId="166" fontId="5" fillId="0" borderId="0" xfId="2" applyNumberFormat="1" applyFont="1" applyFill="1" applyAlignment="1">
      <alignment horizontal="right"/>
    </xf>
    <xf numFmtId="0" fontId="0" fillId="4" borderId="0" xfId="0" applyFill="1" applyAlignment="1">
      <alignment horizontal="right"/>
    </xf>
    <xf numFmtId="0" fontId="0" fillId="4" borderId="2" xfId="0" applyFill="1" applyBorder="1" applyAlignment="1">
      <alignment horizontal="right"/>
    </xf>
    <xf numFmtId="164" fontId="0" fillId="0" borderId="0" xfId="1" applyNumberFormat="1" applyFont="1" applyFill="1"/>
    <xf numFmtId="164" fontId="0" fillId="0" borderId="3" xfId="1" applyNumberFormat="1" applyFont="1" applyFill="1" applyBorder="1"/>
    <xf numFmtId="164" fontId="0" fillId="4" borderId="3" xfId="1" applyNumberFormat="1" applyFont="1" applyFill="1" applyBorder="1" applyAlignment="1">
      <alignment horizontal="right"/>
    </xf>
    <xf numFmtId="164" fontId="0" fillId="4" borderId="4" xfId="1" applyNumberFormat="1" applyFont="1" applyFill="1" applyBorder="1" applyAlignment="1">
      <alignment horizontal="right"/>
    </xf>
    <xf numFmtId="164" fontId="0" fillId="0" borderId="3" xfId="1" applyNumberFormat="1" applyFont="1" applyBorder="1"/>
    <xf numFmtId="0" fontId="0" fillId="4" borderId="0" xfId="0" applyFill="1" applyAlignment="1">
      <alignment horizontal="center"/>
    </xf>
    <xf numFmtId="0" fontId="0" fillId="4" borderId="2" xfId="0" quotePrefix="1" applyFill="1" applyBorder="1" applyAlignment="1">
      <alignment horizontal="right"/>
    </xf>
    <xf numFmtId="0" fontId="2" fillId="0" borderId="0" xfId="4"/>
    <xf numFmtId="166" fontId="0" fillId="4" borderId="0" xfId="2" applyNumberFormat="1" applyFont="1" applyFill="1" applyAlignment="1">
      <alignment horizontal="right"/>
    </xf>
    <xf numFmtId="166" fontId="0" fillId="4" borderId="2" xfId="2" applyNumberFormat="1" applyFont="1" applyFill="1" applyBorder="1" applyAlignment="1">
      <alignment horizontal="right"/>
    </xf>
    <xf numFmtId="166" fontId="2" fillId="0" borderId="0" xfId="2" applyNumberFormat="1" applyFont="1"/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168" fontId="0" fillId="0" borderId="0" xfId="3" applyNumberFormat="1" applyFont="1" applyFill="1"/>
    <xf numFmtId="14" fontId="0" fillId="0" borderId="0" xfId="2" applyNumberFormat="1" applyFont="1"/>
    <xf numFmtId="43" fontId="0" fillId="0" borderId="0" xfId="1" applyFont="1" applyFill="1" applyBorder="1"/>
    <xf numFmtId="164" fontId="0" fillId="3" borderId="6" xfId="1" applyNumberFormat="1" applyFont="1" applyFill="1" applyBorder="1"/>
    <xf numFmtId="165" fontId="0" fillId="3" borderId="6" xfId="2" applyNumberFormat="1" applyFont="1" applyFill="1" applyBorder="1"/>
    <xf numFmtId="43" fontId="0" fillId="3" borderId="6" xfId="1" applyFont="1" applyFill="1" applyBorder="1"/>
    <xf numFmtId="44" fontId="0" fillId="0" borderId="2" xfId="2" applyFont="1" applyFill="1" applyBorder="1"/>
    <xf numFmtId="14" fontId="0" fillId="0" borderId="0" xfId="0" applyNumberFormat="1"/>
    <xf numFmtId="2" fontId="0" fillId="0" borderId="0" xfId="1" applyNumberFormat="1" applyFont="1"/>
    <xf numFmtId="1" fontId="0" fillId="0" borderId="0" xfId="1" applyNumberFormat="1" applyFont="1"/>
    <xf numFmtId="164" fontId="8" fillId="4" borderId="3" xfId="1" applyNumberFormat="1" applyFont="1" applyFill="1" applyBorder="1" applyAlignment="1">
      <alignment horizontal="center"/>
    </xf>
    <xf numFmtId="14" fontId="8" fillId="4" borderId="4" xfId="1" applyNumberFormat="1" applyFont="1" applyFill="1" applyBorder="1" applyAlignment="1">
      <alignment horizontal="center"/>
    </xf>
    <xf numFmtId="172" fontId="0" fillId="0" borderId="0" xfId="0" applyNumberFormat="1"/>
    <xf numFmtId="0" fontId="5" fillId="0" borderId="0" xfId="0" applyFont="1"/>
    <xf numFmtId="164" fontId="0" fillId="5" borderId="7" xfId="1" applyNumberFormat="1" applyFont="1" applyFill="1" applyBorder="1"/>
    <xf numFmtId="9" fontId="0" fillId="0" borderId="0" xfId="3" applyFont="1" applyFill="1"/>
    <xf numFmtId="165" fontId="6" fillId="0" borderId="0" xfId="2" applyNumberFormat="1" applyFont="1" applyFill="1"/>
    <xf numFmtId="9" fontId="0" fillId="0" borderId="0" xfId="0" applyNumberFormat="1"/>
    <xf numFmtId="0" fontId="8" fillId="0" borderId="0" xfId="0" applyFont="1"/>
    <xf numFmtId="0" fontId="3" fillId="6" borderId="0" xfId="0" applyFont="1" applyFill="1"/>
    <xf numFmtId="0" fontId="3" fillId="2" borderId="0" xfId="0" applyFont="1" applyFill="1"/>
    <xf numFmtId="0" fontId="3" fillId="7" borderId="0" xfId="0" applyFont="1" applyFill="1"/>
    <xf numFmtId="0" fontId="9" fillId="8" borderId="0" xfId="0" applyFont="1" applyFill="1"/>
    <xf numFmtId="0" fontId="7" fillId="8" borderId="0" xfId="0" applyFont="1" applyFill="1"/>
    <xf numFmtId="0" fontId="6" fillId="8" borderId="0" xfId="0" applyFont="1" applyFill="1"/>
    <xf numFmtId="0" fontId="8" fillId="2" borderId="0" xfId="0" applyFont="1" applyFill="1"/>
    <xf numFmtId="165" fontId="8" fillId="2" borderId="0" xfId="0" applyNumberFormat="1" applyFont="1" applyFill="1"/>
    <xf numFmtId="0" fontId="8" fillId="2" borderId="0" xfId="0" quotePrefix="1" applyFont="1" applyFill="1"/>
    <xf numFmtId="0" fontId="5" fillId="0" borderId="0" xfId="1" applyNumberFormat="1" applyFont="1" applyBorder="1" applyAlignment="1">
      <alignment horizontal="left"/>
    </xf>
    <xf numFmtId="0" fontId="0" fillId="9" borderId="0" xfId="0" applyFill="1"/>
    <xf numFmtId="164" fontId="0" fillId="0" borderId="0" xfId="1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/>
    </xf>
    <xf numFmtId="164" fontId="0" fillId="0" borderId="1" xfId="1" applyNumberFormat="1" applyFont="1" applyFill="1" applyBorder="1"/>
    <xf numFmtId="0" fontId="0" fillId="10" borderId="1" xfId="0" applyFill="1" applyBorder="1"/>
    <xf numFmtId="165" fontId="0" fillId="10" borderId="0" xfId="2" applyNumberFormat="1" applyFont="1" applyFill="1" applyBorder="1"/>
    <xf numFmtId="165" fontId="0" fillId="10" borderId="1" xfId="2" applyNumberFormat="1" applyFont="1" applyFill="1" applyBorder="1"/>
    <xf numFmtId="0" fontId="0" fillId="10" borderId="0" xfId="0" applyFill="1"/>
    <xf numFmtId="165" fontId="0" fillId="3" borderId="10" xfId="2" applyNumberFormat="1" applyFont="1" applyFill="1" applyBorder="1"/>
    <xf numFmtId="0" fontId="8" fillId="9" borderId="0" xfId="0" applyFont="1" applyFill="1"/>
    <xf numFmtId="164" fontId="0" fillId="5" borderId="6" xfId="1" applyNumberFormat="1" applyFont="1" applyFill="1" applyBorder="1"/>
    <xf numFmtId="0" fontId="5" fillId="0" borderId="0" xfId="0" applyFont="1" applyAlignment="1">
      <alignment horizontal="left"/>
    </xf>
    <xf numFmtId="0" fontId="8" fillId="2" borderId="11" xfId="0" applyFont="1" applyFill="1" applyBorder="1"/>
    <xf numFmtId="0" fontId="6" fillId="8" borderId="11" xfId="2" applyNumberFormat="1" applyFont="1" applyFill="1" applyBorder="1"/>
    <xf numFmtId="0" fontId="8" fillId="7" borderId="11" xfId="0" applyFont="1" applyFill="1" applyBorder="1"/>
    <xf numFmtId="0" fontId="0" fillId="7" borderId="11" xfId="0" applyFill="1" applyBorder="1"/>
    <xf numFmtId="0" fontId="0" fillId="7" borderId="11" xfId="0" quotePrefix="1" applyFill="1" applyBorder="1"/>
    <xf numFmtId="0" fontId="6" fillId="8" borderId="12" xfId="0" applyFont="1" applyFill="1" applyBorder="1"/>
    <xf numFmtId="0" fontId="13" fillId="2" borderId="11" xfId="0" applyFont="1" applyFill="1" applyBorder="1" applyAlignment="1">
      <alignment horizontal="left"/>
    </xf>
    <xf numFmtId="0" fontId="13" fillId="2" borderId="11" xfId="0" applyFont="1" applyFill="1" applyBorder="1" applyAlignment="1">
      <alignment horizontal="left" indent="2"/>
    </xf>
    <xf numFmtId="0" fontId="0" fillId="6" borderId="11" xfId="0" applyFill="1" applyBorder="1"/>
    <xf numFmtId="9" fontId="0" fillId="6" borderId="11" xfId="3" applyFont="1" applyFill="1" applyBorder="1"/>
    <xf numFmtId="9" fontId="0" fillId="6" borderId="13" xfId="3" applyFont="1" applyFill="1" applyBorder="1"/>
    <xf numFmtId="164" fontId="0" fillId="6" borderId="13" xfId="3" applyNumberFormat="1" applyFont="1" applyFill="1" applyBorder="1"/>
    <xf numFmtId="0" fontId="0" fillId="6" borderId="12" xfId="0" applyFill="1" applyBorder="1"/>
    <xf numFmtId="0" fontId="0" fillId="6" borderId="15" xfId="0" applyFill="1" applyBorder="1"/>
    <xf numFmtId="0" fontId="0" fillId="6" borderId="13" xfId="0" applyFill="1" applyBorder="1"/>
    <xf numFmtId="9" fontId="0" fillId="6" borderId="12" xfId="3" applyFont="1" applyFill="1" applyBorder="1"/>
    <xf numFmtId="9" fontId="0" fillId="6" borderId="15" xfId="3" applyFont="1" applyFill="1" applyBorder="1"/>
    <xf numFmtId="164" fontId="8" fillId="7" borderId="13" xfId="0" applyNumberFormat="1" applyFont="1" applyFill="1" applyBorder="1"/>
    <xf numFmtId="0" fontId="8" fillId="2" borderId="15" xfId="0" applyFont="1" applyFill="1" applyBorder="1"/>
    <xf numFmtId="0" fontId="8" fillId="2" borderId="13" xfId="0" applyFont="1" applyFill="1" applyBorder="1"/>
    <xf numFmtId="0" fontId="7" fillId="7" borderId="12" xfId="0" applyFont="1" applyFill="1" applyBorder="1"/>
    <xf numFmtId="10" fontId="6" fillId="8" borderId="12" xfId="3" applyNumberFormat="1" applyFont="1" applyFill="1" applyBorder="1" applyAlignment="1">
      <alignment horizontal="left" indent="5"/>
    </xf>
    <xf numFmtId="0" fontId="15" fillId="2" borderId="12" xfId="0" applyFont="1" applyFill="1" applyBorder="1" applyAlignment="1">
      <alignment horizontal="left" indent="2"/>
    </xf>
    <xf numFmtId="0" fontId="15" fillId="2" borderId="15" xfId="0" applyFont="1" applyFill="1" applyBorder="1"/>
    <xf numFmtId="0" fontId="15" fillId="2" borderId="13" xfId="0" applyFont="1" applyFill="1" applyBorder="1"/>
    <xf numFmtId="0" fontId="15" fillId="2" borderId="11" xfId="0" applyFont="1" applyFill="1" applyBorder="1"/>
    <xf numFmtId="0" fontId="15" fillId="2" borderId="11" xfId="0" quotePrefix="1" applyFont="1" applyFill="1" applyBorder="1"/>
    <xf numFmtId="0" fontId="3" fillId="0" borderId="0" xfId="0" quotePrefix="1" applyFont="1"/>
    <xf numFmtId="0" fontId="8" fillId="2" borderId="12" xfId="0" applyFont="1" applyFill="1" applyBorder="1" applyAlignment="1">
      <alignment horizontal="left" indent="2"/>
    </xf>
    <xf numFmtId="167" fontId="8" fillId="2" borderId="13" xfId="1" applyNumberFormat="1" applyFont="1" applyFill="1" applyBorder="1"/>
    <xf numFmtId="168" fontId="8" fillId="2" borderId="13" xfId="3" applyNumberFormat="1" applyFont="1" applyFill="1" applyBorder="1"/>
    <xf numFmtId="0" fontId="8" fillId="2" borderId="0" xfId="0" applyFont="1" applyFill="1" applyAlignment="1">
      <alignment horizontal="left" indent="2"/>
    </xf>
    <xf numFmtId="0" fontId="3" fillId="10" borderId="0" xfId="0" applyFont="1" applyFill="1"/>
    <xf numFmtId="0" fontId="8" fillId="7" borderId="18" xfId="0" applyFont="1" applyFill="1" applyBorder="1"/>
    <xf numFmtId="0" fontId="8" fillId="7" borderId="16" xfId="0" applyFont="1" applyFill="1" applyBorder="1"/>
    <xf numFmtId="0" fontId="8" fillId="7" borderId="19" xfId="0" applyFont="1" applyFill="1" applyBorder="1"/>
    <xf numFmtId="0" fontId="7" fillId="7" borderId="20" xfId="0" applyFont="1" applyFill="1" applyBorder="1"/>
    <xf numFmtId="0" fontId="0" fillId="0" borderId="12" xfId="0" applyBorder="1"/>
    <xf numFmtId="9" fontId="0" fillId="0" borderId="0" xfId="3" applyFont="1" applyFill="1" applyBorder="1"/>
    <xf numFmtId="168" fontId="8" fillId="0" borderId="0" xfId="3" applyNumberFormat="1" applyFont="1" applyFill="1" applyBorder="1"/>
    <xf numFmtId="0" fontId="8" fillId="0" borderId="0" xfId="0" applyFont="1" applyAlignment="1">
      <alignment horizontal="left" indent="2"/>
    </xf>
    <xf numFmtId="165" fontId="0" fillId="2" borderId="1" xfId="2" applyNumberFormat="1" applyFont="1" applyFill="1" applyBorder="1"/>
    <xf numFmtId="0" fontId="8" fillId="0" borderId="5" xfId="0" applyFont="1" applyBorder="1" applyAlignment="1">
      <alignment horizontal="left" indent="2"/>
    </xf>
    <xf numFmtId="0" fontId="8" fillId="0" borderId="5" xfId="0" applyFont="1" applyBorder="1"/>
    <xf numFmtId="168" fontId="8" fillId="0" borderId="5" xfId="3" applyNumberFormat="1" applyFont="1" applyFill="1" applyBorder="1"/>
    <xf numFmtId="0" fontId="0" fillId="2" borderId="1" xfId="0" applyFill="1" applyBorder="1" applyAlignment="1">
      <alignment horizontal="left" indent="2"/>
    </xf>
    <xf numFmtId="9" fontId="0" fillId="5" borderId="6" xfId="3" applyFont="1" applyFill="1" applyBorder="1"/>
    <xf numFmtId="0" fontId="0" fillId="2" borderId="0" xfId="0" applyFill="1"/>
    <xf numFmtId="166" fontId="0" fillId="3" borderId="6" xfId="2" applyNumberFormat="1" applyFont="1" applyFill="1" applyBorder="1"/>
    <xf numFmtId="0" fontId="0" fillId="0" borderId="0" xfId="2" quotePrefix="1" applyNumberFormat="1" applyFont="1"/>
    <xf numFmtId="0" fontId="0" fillId="0" borderId="0" xfId="1" applyNumberFormat="1" applyFont="1" applyFill="1" applyBorder="1" applyAlignment="1">
      <alignment horizontal="center"/>
    </xf>
    <xf numFmtId="0" fontId="0" fillId="0" borderId="0" xfId="1" applyNumberFormat="1" applyFont="1" applyFill="1" applyBorder="1" applyAlignment="1">
      <alignment horizontal="left"/>
    </xf>
    <xf numFmtId="0" fontId="0" fillId="3" borderId="6" xfId="0" applyFill="1" applyBorder="1"/>
    <xf numFmtId="0" fontId="0" fillId="5" borderId="6" xfId="0" applyFill="1" applyBorder="1"/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8" fillId="0" borderId="0" xfId="0" applyFont="1" applyAlignment="1">
      <alignment horizontal="center"/>
    </xf>
    <xf numFmtId="14" fontId="0" fillId="5" borderId="6" xfId="0" applyNumberFormat="1" applyFill="1" applyBorder="1"/>
    <xf numFmtId="169" fontId="0" fillId="0" borderId="0" xfId="0" applyNumberFormat="1"/>
    <xf numFmtId="165" fontId="0" fillId="0" borderId="0" xfId="0" applyNumberFormat="1"/>
    <xf numFmtId="0" fontId="0" fillId="6" borderId="0" xfId="0" applyFill="1"/>
    <xf numFmtId="10" fontId="0" fillId="5" borderId="6" xfId="0" applyNumberFormat="1" applyFill="1" applyBorder="1"/>
    <xf numFmtId="0" fontId="0" fillId="0" borderId="1" xfId="0" applyBorder="1"/>
    <xf numFmtId="0" fontId="2" fillId="0" borderId="0" xfId="4" applyFill="1"/>
    <xf numFmtId="9" fontId="0" fillId="3" borderId="9" xfId="0" applyNumberFormat="1" applyFill="1" applyBorder="1"/>
    <xf numFmtId="164" fontId="0" fillId="4" borderId="0" xfId="0" applyNumberFormat="1" applyFill="1"/>
    <xf numFmtId="164" fontId="0" fillId="0" borderId="0" xfId="0" applyNumberFormat="1"/>
    <xf numFmtId="164" fontId="0" fillId="6" borderId="13" xfId="0" applyNumberFormat="1" applyFill="1" applyBorder="1"/>
    <xf numFmtId="0" fontId="0" fillId="10" borderId="1" xfId="0" quotePrefix="1" applyFill="1" applyBorder="1"/>
    <xf numFmtId="170" fontId="0" fillId="0" borderId="0" xfId="0" applyNumberFormat="1"/>
    <xf numFmtId="6" fontId="0" fillId="3" borderId="7" xfId="0" applyNumberFormat="1" applyFill="1" applyBorder="1"/>
    <xf numFmtId="174" fontId="0" fillId="3" borderId="7" xfId="0" applyNumberFormat="1" applyFill="1" applyBorder="1"/>
    <xf numFmtId="10" fontId="0" fillId="3" borderId="6" xfId="0" applyNumberFormat="1" applyFill="1" applyBorder="1"/>
    <xf numFmtId="6" fontId="0" fillId="3" borderId="6" xfId="0" applyNumberFormat="1" applyFill="1" applyBorder="1"/>
    <xf numFmtId="165" fontId="0" fillId="10" borderId="1" xfId="0" applyNumberFormat="1" applyFill="1" applyBorder="1"/>
    <xf numFmtId="6" fontId="0" fillId="5" borderId="6" xfId="0" applyNumberFormat="1" applyFill="1" applyBorder="1"/>
    <xf numFmtId="0" fontId="0" fillId="2" borderId="1" xfId="0" quotePrefix="1" applyFill="1" applyBorder="1"/>
    <xf numFmtId="0" fontId="12" fillId="2" borderId="11" xfId="0" applyFont="1" applyFill="1" applyBorder="1"/>
    <xf numFmtId="168" fontId="12" fillId="2" borderId="11" xfId="3" applyNumberFormat="1" applyFont="1" applyFill="1" applyBorder="1"/>
    <xf numFmtId="168" fontId="0" fillId="2" borderId="11" xfId="3" applyNumberFormat="1" applyFont="1" applyFill="1" applyBorder="1"/>
    <xf numFmtId="0" fontId="0" fillId="2" borderId="11" xfId="0" applyFill="1" applyBorder="1"/>
    <xf numFmtId="10" fontId="8" fillId="0" borderId="0" xfId="3" applyNumberFormat="1" applyFont="1" applyFill="1" applyBorder="1"/>
    <xf numFmtId="0" fontId="8" fillId="8" borderId="0" xfId="0" applyFont="1" applyFill="1"/>
    <xf numFmtId="10" fontId="8" fillId="8" borderId="0" xfId="3" applyNumberFormat="1" applyFont="1" applyFill="1" applyBorder="1"/>
    <xf numFmtId="165" fontId="0" fillId="8" borderId="14" xfId="2" applyNumberFormat="1" applyFont="1" applyFill="1" applyBorder="1"/>
    <xf numFmtId="165" fontId="0" fillId="8" borderId="11" xfId="2" applyNumberFormat="1" applyFont="1" applyFill="1" applyBorder="1"/>
    <xf numFmtId="165" fontId="0" fillId="8" borderId="13" xfId="2" applyNumberFormat="1" applyFont="1" applyFill="1" applyBorder="1"/>
    <xf numFmtId="165" fontId="0" fillId="8" borderId="11" xfId="2" quotePrefix="1" applyNumberFormat="1" applyFont="1" applyFill="1" applyBorder="1"/>
    <xf numFmtId="0" fontId="0" fillId="8" borderId="13" xfId="0" applyFill="1" applyBorder="1"/>
    <xf numFmtId="44" fontId="0" fillId="8" borderId="13" xfId="2" applyFont="1" applyFill="1" applyBorder="1"/>
    <xf numFmtId="0" fontId="0" fillId="8" borderId="11" xfId="0" quotePrefix="1" applyFill="1" applyBorder="1"/>
    <xf numFmtId="9" fontId="0" fillId="5" borderId="6" xfId="0" applyNumberFormat="1" applyFill="1" applyBorder="1"/>
    <xf numFmtId="10" fontId="8" fillId="8" borderId="13" xfId="3" applyNumberFormat="1" applyFont="1" applyFill="1" applyBorder="1"/>
    <xf numFmtId="10" fontId="8" fillId="8" borderId="11" xfId="3" applyNumberFormat="1" applyFont="1" applyFill="1" applyBorder="1"/>
    <xf numFmtId="10" fontId="8" fillId="8" borderId="17" xfId="3" applyNumberFormat="1" applyFont="1" applyFill="1" applyBorder="1"/>
    <xf numFmtId="167" fontId="0" fillId="8" borderId="13" xfId="1" applyNumberFormat="1" applyFont="1" applyFill="1" applyBorder="1" applyAlignment="1">
      <alignment horizontal="right"/>
    </xf>
    <xf numFmtId="0" fontId="0" fillId="8" borderId="11" xfId="0" applyFill="1" applyBorder="1"/>
    <xf numFmtId="10" fontId="8" fillId="8" borderId="15" xfId="3" applyNumberFormat="1" applyFont="1" applyFill="1" applyBorder="1"/>
    <xf numFmtId="167" fontId="0" fillId="8" borderId="13" xfId="1" applyNumberFormat="1" applyFont="1" applyFill="1" applyBorder="1" applyAlignment="1">
      <alignment horizontal="right" indent="1"/>
    </xf>
    <xf numFmtId="0" fontId="0" fillId="7" borderId="0" xfId="0" applyFill="1"/>
    <xf numFmtId="0" fontId="0" fillId="0" borderId="15" xfId="0" applyBorder="1"/>
    <xf numFmtId="0" fontId="0" fillId="0" borderId="13" xfId="0" applyBorder="1"/>
    <xf numFmtId="171" fontId="0" fillId="7" borderId="17" xfId="1" applyNumberFormat="1" applyFont="1" applyFill="1" applyBorder="1"/>
    <xf numFmtId="0" fontId="0" fillId="7" borderId="21" xfId="0" applyFill="1" applyBorder="1"/>
    <xf numFmtId="43" fontId="0" fillId="7" borderId="15" xfId="1" applyFont="1" applyFill="1" applyBorder="1"/>
    <xf numFmtId="0" fontId="0" fillId="7" borderId="13" xfId="0" applyFill="1" applyBorder="1"/>
    <xf numFmtId="164" fontId="8" fillId="7" borderId="13" xfId="1" applyNumberFormat="1" applyFont="1" applyFill="1" applyBorder="1"/>
    <xf numFmtId="167" fontId="8" fillId="7" borderId="13" xfId="1" applyNumberFormat="1" applyFont="1" applyFill="1" applyBorder="1"/>
    <xf numFmtId="164" fontId="0" fillId="7" borderId="16" xfId="1" applyNumberFormat="1" applyFont="1" applyFill="1" applyBorder="1"/>
    <xf numFmtId="0" fontId="2" fillId="9" borderId="0" xfId="4" applyFill="1"/>
    <xf numFmtId="0" fontId="0" fillId="9" borderId="0" xfId="0" applyFill="1" applyAlignment="1">
      <alignment horizontal="left"/>
    </xf>
    <xf numFmtId="0" fontId="0" fillId="8" borderId="0" xfId="0" applyFill="1"/>
    <xf numFmtId="165" fontId="0" fillId="0" borderId="0" xfId="2" applyNumberFormat="1" applyFont="1" applyFill="1"/>
    <xf numFmtId="0" fontId="2" fillId="0" borderId="0" xfId="4" applyNumberFormat="1" applyFill="1"/>
    <xf numFmtId="9" fontId="0" fillId="6" borderId="13" xfId="3" applyFont="1" applyFill="1" applyBorder="1" applyAlignment="1">
      <alignment horizontal="right"/>
    </xf>
    <xf numFmtId="165" fontId="3" fillId="10" borderId="0" xfId="2" applyNumberFormat="1" applyFont="1" applyFill="1" applyBorder="1"/>
    <xf numFmtId="0" fontId="3" fillId="0" borderId="0" xfId="2" applyNumberFormat="1" applyFont="1"/>
    <xf numFmtId="0" fontId="0" fillId="0" borderId="5" xfId="0" applyBorder="1"/>
    <xf numFmtId="165" fontId="15" fillId="2" borderId="13" xfId="2" applyNumberFormat="1" applyFont="1" applyFill="1" applyBorder="1"/>
    <xf numFmtId="0" fontId="15" fillId="0" borderId="0" xfId="0" applyFont="1"/>
    <xf numFmtId="175" fontId="0" fillId="0" borderId="0" xfId="0" applyNumberFormat="1" applyAlignment="1">
      <alignment horizontal="center"/>
    </xf>
    <xf numFmtId="44" fontId="0" fillId="10" borderId="1" xfId="2" applyFont="1" applyFill="1" applyBorder="1"/>
    <xf numFmtId="9" fontId="0" fillId="3" borderId="6" xfId="3" applyFont="1" applyFill="1" applyBorder="1"/>
    <xf numFmtId="44" fontId="0" fillId="0" borderId="2" xfId="2" quotePrefix="1" applyFont="1" applyBorder="1"/>
    <xf numFmtId="166" fontId="0" fillId="0" borderId="0" xfId="2" applyNumberFormat="1" applyFont="1" applyFill="1" applyBorder="1"/>
    <xf numFmtId="9" fontId="0" fillId="0" borderId="0" xfId="3" applyFont="1" applyAlignment="1">
      <alignment horizontal="right"/>
    </xf>
    <xf numFmtId="0" fontId="0" fillId="2" borderId="0" xfId="0" quotePrefix="1" applyFill="1"/>
    <xf numFmtId="165" fontId="0" fillId="2" borderId="0" xfId="2" applyNumberFormat="1" applyFont="1" applyFill="1" applyBorder="1"/>
    <xf numFmtId="0" fontId="0" fillId="2" borderId="0" xfId="0" applyFill="1" applyAlignment="1">
      <alignment horizontal="left" indent="2"/>
    </xf>
    <xf numFmtId="6" fontId="0" fillId="2" borderId="0" xfId="0" applyNumberFormat="1" applyFill="1"/>
    <xf numFmtId="165" fontId="8" fillId="2" borderId="13" xfId="0" applyNumberFormat="1" applyFont="1" applyFill="1" applyBorder="1"/>
    <xf numFmtId="0" fontId="8" fillId="2" borderId="13" xfId="0" quotePrefix="1" applyFont="1" applyFill="1" applyBorder="1"/>
    <xf numFmtId="2" fontId="0" fillId="0" borderId="0" xfId="1" applyNumberFormat="1" applyFont="1" applyFill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0" fontId="0" fillId="0" borderId="0" xfId="0" applyAlignment="1">
      <alignment horizontal="center" vertical="center" textRotation="90"/>
    </xf>
    <xf numFmtId="9" fontId="0" fillId="0" borderId="0" xfId="3" applyFont="1" applyFill="1" applyBorder="1" applyAlignment="1">
      <alignment horizontal="center"/>
    </xf>
    <xf numFmtId="0" fontId="0" fillId="4" borderId="23" xfId="0" applyFill="1" applyBorder="1"/>
    <xf numFmtId="0" fontId="0" fillId="4" borderId="3" xfId="0" applyFill="1" applyBorder="1"/>
    <xf numFmtId="9" fontId="0" fillId="0" borderId="9" xfId="3" applyFont="1" applyFill="1" applyBorder="1" applyAlignment="1">
      <alignment horizontal="center"/>
    </xf>
    <xf numFmtId="9" fontId="0" fillId="0" borderId="0" xfId="3" applyFont="1" applyFill="1" applyBorder="1" applyAlignment="1">
      <alignment horizontal="left"/>
    </xf>
    <xf numFmtId="0" fontId="16" fillId="0" borderId="0" xfId="0" applyFont="1"/>
    <xf numFmtId="2" fontId="0" fillId="4" borderId="22" xfId="1" applyNumberFormat="1" applyFont="1" applyFill="1" applyBorder="1" applyAlignment="1">
      <alignment horizontal="center"/>
    </xf>
    <xf numFmtId="2" fontId="0" fillId="4" borderId="4" xfId="1" applyNumberFormat="1" applyFont="1" applyFill="1" applyBorder="1" applyAlignment="1">
      <alignment horizontal="center"/>
    </xf>
    <xf numFmtId="2" fontId="0" fillId="0" borderId="0" xfId="1" applyNumberFormat="1" applyFont="1" applyAlignment="1">
      <alignment horizontal="center"/>
    </xf>
    <xf numFmtId="2" fontId="0" fillId="5" borderId="24" xfId="1" applyNumberFormat="1" applyFont="1" applyFill="1" applyBorder="1" applyAlignment="1">
      <alignment horizontal="center"/>
    </xf>
    <xf numFmtId="2" fontId="0" fillId="5" borderId="4" xfId="1" applyNumberFormat="1" applyFont="1" applyFill="1" applyBorder="1" applyAlignment="1">
      <alignment horizontal="center"/>
    </xf>
    <xf numFmtId="2" fontId="0" fillId="0" borderId="4" xfId="1" applyNumberFormat="1" applyFont="1" applyFill="1" applyBorder="1" applyAlignment="1">
      <alignment horizontal="center"/>
    </xf>
    <xf numFmtId="2" fontId="0" fillId="0" borderId="0" xfId="1" applyNumberFormat="1" applyFont="1" applyFill="1" applyBorder="1" applyAlignment="1">
      <alignment horizontal="left"/>
    </xf>
    <xf numFmtId="0" fontId="9" fillId="0" borderId="0" xfId="0" applyFont="1"/>
    <xf numFmtId="0" fontId="17" fillId="0" borderId="0" xfId="0" applyFont="1" applyAlignment="1">
      <alignment horizontal="right"/>
    </xf>
    <xf numFmtId="0" fontId="17" fillId="0" borderId="0" xfId="0" applyFont="1" applyAlignment="1">
      <alignment horizontal="left"/>
    </xf>
    <xf numFmtId="164" fontId="17" fillId="0" borderId="0" xfId="1" applyNumberFormat="1" applyFont="1"/>
    <xf numFmtId="43" fontId="17" fillId="0" borderId="0" xfId="1" applyFont="1" applyFill="1" applyBorder="1"/>
    <xf numFmtId="0" fontId="17" fillId="0" borderId="0" xfId="0" applyFont="1"/>
    <xf numFmtId="0" fontId="17" fillId="0" borderId="0" xfId="1" applyNumberFormat="1" applyFont="1" applyBorder="1" applyAlignment="1">
      <alignment horizontal="left"/>
    </xf>
    <xf numFmtId="1" fontId="0" fillId="0" borderId="0" xfId="1" applyNumberFormat="1" applyFont="1" applyFill="1" applyBorder="1" applyAlignment="1">
      <alignment horizontal="center"/>
    </xf>
    <xf numFmtId="0" fontId="0" fillId="2" borderId="0" xfId="0" applyFill="1" applyAlignment="1">
      <alignment horizontal="right"/>
    </xf>
    <xf numFmtId="43" fontId="0" fillId="0" borderId="6" xfId="1" applyFont="1" applyFill="1" applyBorder="1"/>
    <xf numFmtId="165" fontId="3" fillId="0" borderId="0" xfId="2" applyNumberFormat="1" applyFont="1" applyFill="1" applyBorder="1"/>
    <xf numFmtId="9" fontId="0" fillId="0" borderId="13" xfId="3" applyFont="1" applyFill="1" applyBorder="1" applyAlignment="1">
      <alignment horizontal="right"/>
    </xf>
    <xf numFmtId="9" fontId="0" fillId="0" borderId="13" xfId="3" applyFont="1" applyFill="1" applyBorder="1"/>
    <xf numFmtId="164" fontId="0" fillId="0" borderId="13" xfId="3" applyNumberFormat="1" applyFont="1" applyFill="1" applyBorder="1"/>
    <xf numFmtId="164" fontId="0" fillId="0" borderId="13" xfId="0" applyNumberFormat="1" applyBorder="1"/>
    <xf numFmtId="166" fontId="0" fillId="0" borderId="0" xfId="2" applyNumberFormat="1" applyFont="1" applyFill="1"/>
    <xf numFmtId="9" fontId="0" fillId="0" borderId="0" xfId="3" applyFont="1" applyFill="1" applyAlignment="1">
      <alignment horizontal="right"/>
    </xf>
    <xf numFmtId="165" fontId="0" fillId="0" borderId="1" xfId="2" applyNumberFormat="1" applyFont="1" applyFill="1" applyBorder="1"/>
    <xf numFmtId="44" fontId="0" fillId="0" borderId="1" xfId="2" applyFont="1" applyFill="1" applyBorder="1"/>
    <xf numFmtId="6" fontId="0" fillId="0" borderId="0" xfId="0" applyNumberFormat="1"/>
    <xf numFmtId="165" fontId="0" fillId="0" borderId="1" xfId="0" applyNumberFormat="1" applyBorder="1"/>
    <xf numFmtId="165" fontId="8" fillId="0" borderId="0" xfId="0" applyNumberFormat="1" applyFont="1"/>
    <xf numFmtId="165" fontId="15" fillId="0" borderId="13" xfId="2" applyNumberFormat="1" applyFont="1" applyFill="1" applyBorder="1"/>
    <xf numFmtId="167" fontId="8" fillId="0" borderId="13" xfId="1" applyNumberFormat="1" applyFont="1" applyFill="1" applyBorder="1"/>
    <xf numFmtId="168" fontId="8" fillId="0" borderId="13" xfId="3" applyNumberFormat="1" applyFont="1" applyFill="1" applyBorder="1"/>
    <xf numFmtId="165" fontId="8" fillId="0" borderId="13" xfId="0" applyNumberFormat="1" applyFont="1" applyBorder="1"/>
    <xf numFmtId="168" fontId="0" fillId="0" borderId="11" xfId="3" applyNumberFormat="1" applyFont="1" applyFill="1" applyBorder="1"/>
    <xf numFmtId="165" fontId="0" fillId="0" borderId="13" xfId="2" applyNumberFormat="1" applyFont="1" applyFill="1" applyBorder="1"/>
    <xf numFmtId="44" fontId="0" fillId="0" borderId="13" xfId="2" applyFont="1" applyFill="1" applyBorder="1"/>
    <xf numFmtId="10" fontId="8" fillId="0" borderId="13" xfId="3" applyNumberFormat="1" applyFont="1" applyFill="1" applyBorder="1"/>
    <xf numFmtId="167" fontId="0" fillId="0" borderId="13" xfId="1" applyNumberFormat="1" applyFont="1" applyFill="1" applyBorder="1" applyAlignment="1">
      <alignment horizontal="right"/>
    </xf>
    <xf numFmtId="167" fontId="0" fillId="0" borderId="13" xfId="1" applyNumberFormat="1" applyFont="1" applyFill="1" applyBorder="1" applyAlignment="1">
      <alignment horizontal="right" indent="1"/>
    </xf>
    <xf numFmtId="164" fontId="8" fillId="0" borderId="13" xfId="0" applyNumberFormat="1" applyFont="1" applyBorder="1"/>
    <xf numFmtId="164" fontId="8" fillId="0" borderId="13" xfId="1" applyNumberFormat="1" applyFont="1" applyFill="1" applyBorder="1"/>
    <xf numFmtId="168" fontId="0" fillId="0" borderId="9" xfId="3" applyNumberFormat="1" applyFont="1" applyFill="1" applyBorder="1" applyAlignment="1">
      <alignment horizontal="center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</cellXfs>
  <cellStyles count="6">
    <cellStyle name="Comma" xfId="1" builtinId="3"/>
    <cellStyle name="Comma 2" xfId="5" xr:uid="{997E7F62-E0DA-4CD5-9305-8FF3856FFA94}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21067696973247"/>
          <c:y val="3.1726497759986025E-2"/>
          <c:w val="0.86191759217471497"/>
          <c:h val="0.57970754475308361"/>
        </c:manualLayout>
      </c:layout>
      <c:lineChart>
        <c:grouping val="standard"/>
        <c:varyColors val="0"/>
        <c:ser>
          <c:idx val="0"/>
          <c:order val="0"/>
          <c:tx>
            <c:strRef>
              <c:f>'Rendite Matrix'!$D$48</c:f>
              <c:strCache>
                <c:ptCount val="1"/>
                <c:pt idx="0">
                  <c:v>BA = 0,5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'Rendite Matrix'!$C$49:$C$53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'Rendite Matrix'!$D$49:$D$53</c:f>
              <c:numCache>
                <c:formatCode>0.0%</c:formatCode>
                <c:ptCount val="5"/>
                <c:pt idx="0">
                  <c:v>0.17342811851484161</c:v>
                </c:pt>
                <c:pt idx="1">
                  <c:v>0.15863522707563346</c:v>
                </c:pt>
                <c:pt idx="2">
                  <c:v>0.14234557299067185</c:v>
                </c:pt>
                <c:pt idx="3">
                  <c:v>0.11241871913546719</c:v>
                </c:pt>
                <c:pt idx="4">
                  <c:v>6.59127938020483E-2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D1-417E-8002-F937B73B001F}"/>
            </c:ext>
          </c:extLst>
        </c:ser>
        <c:ser>
          <c:idx val="1"/>
          <c:order val="1"/>
          <c:tx>
            <c:strRef>
              <c:f>'Rendite Matrix'!$E$48</c:f>
              <c:strCache>
                <c:ptCount val="1"/>
                <c:pt idx="0">
                  <c:v>BA = 0,75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'Rendite Matrix'!$C$49:$C$53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'Rendite Matrix'!$E$49:$E$53</c:f>
              <c:numCache>
                <c:formatCode>0.0%</c:formatCode>
                <c:ptCount val="5"/>
                <c:pt idx="0">
                  <c:v>0.14841353553296427</c:v>
                </c:pt>
                <c:pt idx="1">
                  <c:v>0.14223138537721233</c:v>
                </c:pt>
                <c:pt idx="2">
                  <c:v>0.13357952213033428</c:v>
                </c:pt>
                <c:pt idx="3">
                  <c:v>0.11314161463677508</c:v>
                </c:pt>
                <c:pt idx="4">
                  <c:v>7.4016784796710658E-2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D1-417E-8002-F937B73B001F}"/>
            </c:ext>
          </c:extLst>
        </c:ser>
        <c:ser>
          <c:idx val="2"/>
          <c:order val="2"/>
          <c:tx>
            <c:strRef>
              <c:f>'Rendite Matrix'!$F$48</c:f>
              <c:strCache>
                <c:ptCount val="1"/>
                <c:pt idx="0">
                  <c:v>BA = 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'Rendite Matrix'!$C$49:$C$53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'Rendite Matrix'!$F$49:$F$53</c:f>
              <c:numCache>
                <c:formatCode>0.0%</c:formatCode>
                <c:ptCount val="5"/>
                <c:pt idx="0">
                  <c:v>0.12915655587489397</c:v>
                </c:pt>
                <c:pt idx="1">
                  <c:v>0.12688159838089427</c:v>
                </c:pt>
                <c:pt idx="2">
                  <c:v>0.12223960165396461</c:v>
                </c:pt>
                <c:pt idx="3">
                  <c:v>0.10776686308963783</c:v>
                </c:pt>
                <c:pt idx="4">
                  <c:v>7.444283432249181E-2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2D1-417E-8002-F937B73B001F}"/>
            </c:ext>
          </c:extLst>
        </c:ser>
        <c:ser>
          <c:idx val="3"/>
          <c:order val="3"/>
          <c:tx>
            <c:strRef>
              <c:f>'Rendite Matrix'!$G$48</c:f>
              <c:strCache>
                <c:ptCount val="1"/>
                <c:pt idx="0">
                  <c:v>BA = 1,25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'Rendite Matrix'!$C$49:$C$53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'Rendite Matrix'!$G$49:$G$53</c:f>
              <c:numCache>
                <c:formatCode>0.0%</c:formatCode>
                <c:ptCount val="5"/>
                <c:pt idx="0">
                  <c:v>0.11444813149371787</c:v>
                </c:pt>
                <c:pt idx="1">
                  <c:v>0.11408893646161881</c:v>
                </c:pt>
                <c:pt idx="2">
                  <c:v>0.11179636234811176</c:v>
                </c:pt>
                <c:pt idx="3">
                  <c:v>0.10115312652874417</c:v>
                </c:pt>
                <c:pt idx="4">
                  <c:v>7.2061517925835872E-2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2D1-417E-8002-F937B73B001F}"/>
            </c:ext>
          </c:extLst>
        </c:ser>
        <c:ser>
          <c:idx val="4"/>
          <c:order val="4"/>
          <c:tx>
            <c:strRef>
              <c:f>'Rendite Matrix'!$H$48</c:f>
              <c:strCache>
                <c:ptCount val="1"/>
                <c:pt idx="0">
                  <c:v>BA = 1,5</c:v>
                </c:pt>
              </c:strCache>
            </c:strRef>
          </c:tx>
          <c:spPr>
            <a:ln w="28575" cap="rnd" cmpd="sng">
              <a:solidFill>
                <a:schemeClr val="accent2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'Rendite Matrix'!$C$49:$C$53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'Rendite Matrix'!$H$49:$H$53</c:f>
              <c:numCache>
                <c:formatCode>0.0%</c:formatCode>
                <c:ptCount val="5"/>
                <c:pt idx="0">
                  <c:v>0.10195515350904115</c:v>
                </c:pt>
                <c:pt idx="1">
                  <c:v>0.10296546566393323</c:v>
                </c:pt>
                <c:pt idx="2">
                  <c:v>0.10207339266767046</c:v>
                </c:pt>
                <c:pt idx="3">
                  <c:v>9.4236195635553716E-2</c:v>
                </c:pt>
                <c:pt idx="4">
                  <c:v>6.851752150917928E-2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2D1-417E-8002-F937B73B0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3985631"/>
        <c:axId val="803998111"/>
      </c:lineChart>
      <c:catAx>
        <c:axId val="80398563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Speicher-Verbrauchsquotient</a:t>
                </a:r>
                <a:r>
                  <a:rPr lang="en-US" baseline="0"/>
                  <a:t> (SVQ)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2308804304102976"/>
              <c:y val="0.561367546678924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998111"/>
        <c:crosses val="autoZero"/>
        <c:auto val="1"/>
        <c:lblAlgn val="ctr"/>
        <c:lblOffset val="100"/>
        <c:noMultiLvlLbl val="0"/>
      </c:catAx>
      <c:valAx>
        <c:axId val="803998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Rendite für Eigennutzer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98563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7245704000787"/>
          <c:y val="2.7113024593339551E-2"/>
          <c:w val="0.73212489901453381"/>
          <c:h val="0.67003693400600384"/>
        </c:manualLayout>
      </c:layout>
      <c:lineChart>
        <c:grouping val="standard"/>
        <c:varyColors val="0"/>
        <c:ser>
          <c:idx val="4"/>
          <c:order val="0"/>
          <c:tx>
            <c:v>SVQ = 2,0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tx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Direktverbrauchsquote!$D$77:$H$77</c:f>
              <c:numCache>
                <c:formatCode>0.00</c:formatCode>
                <c:ptCount val="5"/>
                <c:pt idx="0">
                  <c:v>0.5</c:v>
                </c:pt>
                <c:pt idx="1">
                  <c:v>0.75</c:v>
                </c:pt>
                <c:pt idx="2">
                  <c:v>1</c:v>
                </c:pt>
                <c:pt idx="3">
                  <c:v>1.25</c:v>
                </c:pt>
                <c:pt idx="4">
                  <c:v>1.5</c:v>
                </c:pt>
              </c:numCache>
            </c:numRef>
          </c:cat>
          <c:val>
            <c:numRef>
              <c:f>Direktverbrauchsquote!$D$82:$H$82</c:f>
              <c:numCache>
                <c:formatCode>0%</c:formatCode>
                <c:ptCount val="5"/>
                <c:pt idx="0">
                  <c:v>0.89900000000000002</c:v>
                </c:pt>
                <c:pt idx="1">
                  <c:v>0.748</c:v>
                </c:pt>
                <c:pt idx="2">
                  <c:v>0.625</c:v>
                </c:pt>
                <c:pt idx="3">
                  <c:v>0.53100000000000003</c:v>
                </c:pt>
                <c:pt idx="4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B6-4AA3-8B34-54BA061F58B1}"/>
            </c:ext>
          </c:extLst>
        </c:ser>
        <c:ser>
          <c:idx val="3"/>
          <c:order val="1"/>
          <c:tx>
            <c:v>SVQ = 1,0</c:v>
          </c:tx>
          <c:spPr>
            <a:ln w="28575" cap="rnd">
              <a:solidFill>
                <a:schemeClr val="accent5"/>
              </a:solidFill>
              <a:prstDash val="lg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numRef>
              <c:f>Direktverbrauchsquote!$D$77:$H$77</c:f>
              <c:numCache>
                <c:formatCode>0.00</c:formatCode>
                <c:ptCount val="5"/>
                <c:pt idx="0">
                  <c:v>0.5</c:v>
                </c:pt>
                <c:pt idx="1">
                  <c:v>0.75</c:v>
                </c:pt>
                <c:pt idx="2">
                  <c:v>1</c:v>
                </c:pt>
                <c:pt idx="3">
                  <c:v>1.25</c:v>
                </c:pt>
                <c:pt idx="4">
                  <c:v>1.5</c:v>
                </c:pt>
              </c:numCache>
            </c:numRef>
          </c:cat>
          <c:val>
            <c:numRef>
              <c:f>Direktverbrauchsquote!$D$81:$H$81</c:f>
              <c:numCache>
                <c:formatCode>0%</c:formatCode>
                <c:ptCount val="5"/>
                <c:pt idx="0">
                  <c:v>0.89300000000000002</c:v>
                </c:pt>
                <c:pt idx="1">
                  <c:v>0.73399999999999999</c:v>
                </c:pt>
                <c:pt idx="2">
                  <c:v>0.61199999999999999</c:v>
                </c:pt>
                <c:pt idx="3">
                  <c:v>0.52200000000000002</c:v>
                </c:pt>
                <c:pt idx="4">
                  <c:v>0.45500000000000002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B6-4AA3-8B34-54BA061F58B1}"/>
            </c:ext>
          </c:extLst>
        </c:ser>
        <c:ser>
          <c:idx val="2"/>
          <c:order val="2"/>
          <c:tx>
            <c:v>SVQ = 0,5</c:v>
          </c:tx>
          <c:spPr>
            <a:ln w="28575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triang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numRef>
              <c:f>Direktverbrauchsquote!$D$77:$H$77</c:f>
              <c:numCache>
                <c:formatCode>0.00</c:formatCode>
                <c:ptCount val="5"/>
                <c:pt idx="0">
                  <c:v>0.5</c:v>
                </c:pt>
                <c:pt idx="1">
                  <c:v>0.75</c:v>
                </c:pt>
                <c:pt idx="2">
                  <c:v>1</c:v>
                </c:pt>
                <c:pt idx="3">
                  <c:v>1.25</c:v>
                </c:pt>
                <c:pt idx="4">
                  <c:v>1.5</c:v>
                </c:pt>
              </c:numCache>
            </c:numRef>
          </c:cat>
          <c:val>
            <c:numRef>
              <c:f>Direktverbrauchsquote!$D$80:$H$80</c:f>
              <c:numCache>
                <c:formatCode>0%</c:formatCode>
                <c:ptCount val="5"/>
                <c:pt idx="0">
                  <c:v>0.83399999999999996</c:v>
                </c:pt>
                <c:pt idx="1">
                  <c:v>0.66800000000000004</c:v>
                </c:pt>
                <c:pt idx="2">
                  <c:v>0.55000000000000004</c:v>
                </c:pt>
                <c:pt idx="3">
                  <c:v>0.46600000000000003</c:v>
                </c:pt>
                <c:pt idx="4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B6-4AA3-8B34-54BA061F58B1}"/>
            </c:ext>
          </c:extLst>
        </c:ser>
        <c:ser>
          <c:idx val="1"/>
          <c:order val="3"/>
          <c:tx>
            <c:v>SVQ = 0,25</c:v>
          </c:tx>
          <c:spPr>
            <a:ln w="28575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numRef>
              <c:f>Direktverbrauchsquote!$D$77:$H$77</c:f>
              <c:numCache>
                <c:formatCode>0.00</c:formatCode>
                <c:ptCount val="5"/>
                <c:pt idx="0">
                  <c:v>0.5</c:v>
                </c:pt>
                <c:pt idx="1">
                  <c:v>0.75</c:v>
                </c:pt>
                <c:pt idx="2">
                  <c:v>1</c:v>
                </c:pt>
                <c:pt idx="3">
                  <c:v>1.25</c:v>
                </c:pt>
                <c:pt idx="4">
                  <c:v>1.5</c:v>
                </c:pt>
              </c:numCache>
            </c:numRef>
          </c:cat>
          <c:val>
            <c:numRef>
              <c:f>Direktverbrauchsquote!$D$79:$H$79</c:f>
              <c:numCache>
                <c:formatCode>0%</c:formatCode>
                <c:ptCount val="5"/>
                <c:pt idx="0">
                  <c:v>0.77300000000000002</c:v>
                </c:pt>
                <c:pt idx="1">
                  <c:v>0.60499999999999998</c:v>
                </c:pt>
                <c:pt idx="2">
                  <c:v>0.49299999999999999</c:v>
                </c:pt>
                <c:pt idx="3">
                  <c:v>0.41499999999999998</c:v>
                </c:pt>
                <c:pt idx="4">
                  <c:v>0.35899999999999999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B6-4AA3-8B34-54BA061F58B1}"/>
            </c:ext>
          </c:extLst>
        </c:ser>
        <c:ser>
          <c:idx val="0"/>
          <c:order val="4"/>
          <c:tx>
            <c:v>Kein Speicher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cat>
            <c:numRef>
              <c:f>Direktverbrauchsquote!$D$77:$H$77</c:f>
              <c:numCache>
                <c:formatCode>0.00</c:formatCode>
                <c:ptCount val="5"/>
                <c:pt idx="0">
                  <c:v>0.5</c:v>
                </c:pt>
                <c:pt idx="1">
                  <c:v>0.75</c:v>
                </c:pt>
                <c:pt idx="2">
                  <c:v>1</c:v>
                </c:pt>
                <c:pt idx="3">
                  <c:v>1.25</c:v>
                </c:pt>
                <c:pt idx="4">
                  <c:v>1.5</c:v>
                </c:pt>
              </c:numCache>
            </c:numRef>
          </c:cat>
          <c:val>
            <c:numRef>
              <c:f>Direktverbrauchsquote!$D$78:$H$78</c:f>
              <c:numCache>
                <c:formatCode>0%</c:formatCode>
                <c:ptCount val="5"/>
                <c:pt idx="0">
                  <c:v>0.66800000000000004</c:v>
                </c:pt>
                <c:pt idx="1">
                  <c:v>0.51500000000000001</c:v>
                </c:pt>
                <c:pt idx="2">
                  <c:v>0.41799999999999998</c:v>
                </c:pt>
                <c:pt idx="3">
                  <c:v>0.35199999999999998</c:v>
                </c:pt>
                <c:pt idx="4">
                  <c:v>0.30399999999999999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FB6-4AA3-8B34-54BA061F5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9914767"/>
        <c:axId val="1509902767"/>
      </c:lineChart>
      <c:catAx>
        <c:axId val="150991476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Bilanzielle Autarkie = PV Jahresertrag / Jahresverbrauch</a:t>
                </a:r>
              </a:p>
            </c:rich>
          </c:tx>
          <c:layout>
            <c:manualLayout>
              <c:xMode val="edge"/>
              <c:yMode val="edge"/>
              <c:x val="0.39418003045428257"/>
              <c:y val="0.653683080034157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09902767"/>
        <c:crosses val="autoZero"/>
        <c:auto val="1"/>
        <c:lblAlgn val="ctr"/>
        <c:lblOffset val="100"/>
        <c:noMultiLvlLbl val="0"/>
      </c:catAx>
      <c:valAx>
        <c:axId val="1509902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Direktverbrauchsquote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099147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 cap="sq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4080</xdr:colOff>
      <xdr:row>6</xdr:row>
      <xdr:rowOff>187777</xdr:rowOff>
    </xdr:from>
    <xdr:to>
      <xdr:col>12</xdr:col>
      <xdr:colOff>590549</xdr:colOff>
      <xdr:row>32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E5FD677-CD4A-1720-2FEC-6B46BDC54B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171449</xdr:rowOff>
    </xdr:from>
    <xdr:to>
      <xdr:col>10</xdr:col>
      <xdr:colOff>609599</xdr:colOff>
      <xdr:row>31</xdr:row>
      <xdr:rowOff>180974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3D64BED-5862-4E57-9FB1-C6A59F89AF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DD13EB-6314-448C-A2CC-06F9FBB94445}" name="Table1" displayName="Table1" ref="B2:B8" totalsRowShown="0">
  <autoFilter ref="B2:B8" xr:uid="{BEDD13EB-6314-448C-A2CC-06F9FBB94445}"/>
  <tableColumns count="1">
    <tableColumn id="1" xr3:uid="{6AA76ACD-6301-446A-B9C9-4DC6B9412BD1}" name="Betriebsmodell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pv4wegs.de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https://www.wald.de/waldwissen/wie-viel-kohlendioxid-co2-speichert-der-wald-bzw-ein-baum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umweltbundesamt.de/bild/durchschnittlicher-co2-fussabdruck-pro-kopf-in" TargetMode="External"/><Relationship Id="rId1" Type="http://schemas.openxmlformats.org/officeDocument/2006/relationships/hyperlink" Target="https://www.ffe.de/veroeffentlichungen/umweltbilanz-von-elektrofahrzeugen-potenziale-der-kreislaufwirtschaft/" TargetMode="External"/><Relationship Id="rId6" Type="http://schemas.openxmlformats.org/officeDocument/2006/relationships/hyperlink" Target="https://www.verivox.de/strom/" TargetMode="External"/><Relationship Id="rId5" Type="http://schemas.openxmlformats.org/officeDocument/2006/relationships/hyperlink" Target="https://assets.ctfassets.net/xytfb1vrn7of/fEyKny9vSL0zsgtzvGjiv/6f6fe41313fa7b200ed51694c32dc96c/messpreise-fuer-einspeiser-nach-dem-kraft-waerme-kopplungsgesetz-2022.pdf" TargetMode="External"/><Relationship Id="rId4" Type="http://schemas.openxmlformats.org/officeDocument/2006/relationships/hyperlink" Target="https://www.umweltbundesamt.de/themen/klima-energie/erneuerbare-energien/photovoltaik" TargetMode="External"/><Relationship Id="rId9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re.jrc.ec.europa.eu/pvg_tools/en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olarwirtschaft.de/datawall/uploads/2023/01/bsw_verguetungssaetze_aktuell.pdf" TargetMode="External"/><Relationship Id="rId1" Type="http://schemas.openxmlformats.org/officeDocument/2006/relationships/hyperlink" Target="https://www.solarwirtschaft.de/datawall/uploads/2023/01/bsw_verguetungssaetze_aktuell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8858A-16A8-4390-8106-36A9653EECD9}">
  <dimension ref="B1:M53"/>
  <sheetViews>
    <sheetView tabSelected="1" workbookViewId="0">
      <selection activeCell="D3" sqref="D3"/>
    </sheetView>
  </sheetViews>
  <sheetFormatPr defaultRowHeight="14.6" x14ac:dyDescent="0.4"/>
  <sheetData>
    <row r="1" spans="2:13" ht="15" thickBot="1" x14ac:dyDescent="0.45"/>
    <row r="2" spans="2:13" ht="15" thickBot="1" x14ac:dyDescent="0.45">
      <c r="B2" t="s">
        <v>226</v>
      </c>
      <c r="D2" s="129">
        <v>11</v>
      </c>
      <c r="I2" s="63" t="s">
        <v>235</v>
      </c>
      <c r="J2" s="63"/>
      <c r="K2" s="63"/>
      <c r="L2" s="63"/>
      <c r="M2" s="63"/>
    </row>
    <row r="3" spans="2:13" x14ac:dyDescent="0.4">
      <c r="B3" t="s">
        <v>232</v>
      </c>
      <c r="I3" s="63" t="s">
        <v>165</v>
      </c>
      <c r="J3" s="63"/>
      <c r="K3" s="63"/>
      <c r="L3" s="63"/>
      <c r="M3" s="63"/>
    </row>
    <row r="4" spans="2:13" x14ac:dyDescent="0.4">
      <c r="I4" s="187" t="s">
        <v>175</v>
      </c>
      <c r="J4" s="63"/>
      <c r="K4" s="63"/>
      <c r="L4" s="63"/>
      <c r="M4" s="63"/>
    </row>
    <row r="5" spans="2:13" x14ac:dyDescent="0.4">
      <c r="I5" s="63" t="s">
        <v>169</v>
      </c>
      <c r="J5" s="63"/>
      <c r="K5" s="63"/>
      <c r="L5" s="63"/>
      <c r="M5" s="63"/>
    </row>
    <row r="6" spans="2:13" x14ac:dyDescent="0.4">
      <c r="I6" s="188" t="s">
        <v>166</v>
      </c>
      <c r="J6" s="63"/>
      <c r="K6" s="63"/>
      <c r="L6" s="63"/>
      <c r="M6" s="63"/>
    </row>
    <row r="34" spans="2:8" x14ac:dyDescent="0.4">
      <c r="B34" t="s">
        <v>234</v>
      </c>
    </row>
    <row r="35" spans="2:8" x14ac:dyDescent="0.4">
      <c r="B35" t="s">
        <v>233</v>
      </c>
    </row>
    <row r="47" spans="2:8" x14ac:dyDescent="0.4">
      <c r="B47" t="s">
        <v>225</v>
      </c>
      <c r="D47" s="214"/>
      <c r="E47" s="11"/>
      <c r="F47" s="26" t="s">
        <v>199</v>
      </c>
      <c r="G47" s="11"/>
      <c r="H47" s="215"/>
    </row>
    <row r="48" spans="2:8" x14ac:dyDescent="0.4">
      <c r="B48" s="212"/>
      <c r="C48" s="212"/>
      <c r="D48" s="219" t="s">
        <v>227</v>
      </c>
      <c r="E48" s="219" t="s">
        <v>228</v>
      </c>
      <c r="F48" s="219" t="s">
        <v>229</v>
      </c>
      <c r="G48" s="219" t="s">
        <v>230</v>
      </c>
      <c r="H48" s="220" t="s">
        <v>231</v>
      </c>
    </row>
    <row r="49" spans="2:8" x14ac:dyDescent="0.4">
      <c r="B49" s="261" t="s">
        <v>200</v>
      </c>
      <c r="C49" s="222">
        <v>0</v>
      </c>
      <c r="D49" s="260">
        <f>'Eingaben &amp; Berechnung'!E85</f>
        <v>0.17342811851484161</v>
      </c>
      <c r="E49" s="260">
        <f>'Eingaben &amp; Berechnung'!F85</f>
        <v>0.14841353553296427</v>
      </c>
      <c r="F49" s="260">
        <f>'Eingaben &amp; Berechnung'!G85</f>
        <v>0.12915655587489397</v>
      </c>
      <c r="G49" s="260">
        <f>'Eingaben &amp; Berechnung'!H85</f>
        <v>0.11444813149371787</v>
      </c>
      <c r="H49" s="260">
        <f>'Eingaben &amp; Berechnung'!I85</f>
        <v>0.10195515350904115</v>
      </c>
    </row>
    <row r="50" spans="2:8" x14ac:dyDescent="0.4">
      <c r="B50" s="262"/>
      <c r="C50" s="222">
        <v>0.25</v>
      </c>
      <c r="D50" s="260">
        <f>'Eingaben &amp; Berechnung'!K85</f>
        <v>0.15863522707563346</v>
      </c>
      <c r="E50" s="260">
        <f>'Eingaben &amp; Berechnung'!L85</f>
        <v>0.14223138537721233</v>
      </c>
      <c r="F50" s="260">
        <f>'Eingaben &amp; Berechnung'!M85</f>
        <v>0.12688159838089427</v>
      </c>
      <c r="G50" s="260">
        <f>'Eingaben &amp; Berechnung'!N85</f>
        <v>0.11408893646161881</v>
      </c>
      <c r="H50" s="260">
        <f>'Eingaben &amp; Berechnung'!O85</f>
        <v>0.10296546566393323</v>
      </c>
    </row>
    <row r="51" spans="2:8" x14ac:dyDescent="0.4">
      <c r="B51" s="262"/>
      <c r="C51" s="222">
        <v>0.5</v>
      </c>
      <c r="D51" s="260" cm="1">
        <f t="array" ref="D51:H51">'Eingaben &amp; Berechnung'!Q85:U85</f>
        <v>0.14234557299067185</v>
      </c>
      <c r="E51" s="260">
        <v>0.13357952213033428</v>
      </c>
      <c r="F51" s="260">
        <v>0.12223960165396461</v>
      </c>
      <c r="G51" s="260">
        <v>0.11179636234811176</v>
      </c>
      <c r="H51" s="260">
        <v>0.10207339266767046</v>
      </c>
    </row>
    <row r="52" spans="2:8" x14ac:dyDescent="0.4">
      <c r="B52" s="262"/>
      <c r="C52" s="222">
        <v>1</v>
      </c>
      <c r="D52" s="260">
        <f>'Eingaben &amp; Berechnung'!W85</f>
        <v>0.11241871913546719</v>
      </c>
      <c r="E52" s="260">
        <f>'Eingaben &amp; Berechnung'!X85</f>
        <v>0.11314161463677508</v>
      </c>
      <c r="F52" s="260">
        <f>'Eingaben &amp; Berechnung'!Y85</f>
        <v>0.10776686308963783</v>
      </c>
      <c r="G52" s="260">
        <f>'Eingaben &amp; Berechnung'!Z85</f>
        <v>0.10115312652874417</v>
      </c>
      <c r="H52" s="260">
        <f>'Eingaben &amp; Berechnung'!AA85</f>
        <v>9.4236195635553716E-2</v>
      </c>
    </row>
    <row r="53" spans="2:8" x14ac:dyDescent="0.4">
      <c r="B53" s="263"/>
      <c r="C53" s="223">
        <v>2</v>
      </c>
      <c r="D53" s="260">
        <f>'Eingaben &amp; Berechnung'!AC85</f>
        <v>6.59127938020483E-2</v>
      </c>
      <c r="E53" s="260">
        <f>'Eingaben &amp; Berechnung'!AD85</f>
        <v>7.4016784796710658E-2</v>
      </c>
      <c r="F53" s="260">
        <f>'Eingaben &amp; Berechnung'!AE85</f>
        <v>7.444283432249181E-2</v>
      </c>
      <c r="G53" s="260">
        <f>'Eingaben &amp; Berechnung'!AF85</f>
        <v>7.2061517925835872E-2</v>
      </c>
      <c r="H53" s="260">
        <f>'Eingaben &amp; Berechnung'!AG85</f>
        <v>6.851752150917928E-2</v>
      </c>
    </row>
  </sheetData>
  <mergeCells count="1">
    <mergeCell ref="B49:B53"/>
  </mergeCells>
  <hyperlinks>
    <hyperlink ref="I4" r:id="rId1" xr:uid="{EB09BEAB-C7B5-4957-B916-729C444F4302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AAC8A-51DB-44CC-87D2-D10984CED971}">
  <dimension ref="A1:AK104"/>
  <sheetViews>
    <sheetView zoomScale="85" zoomScaleNormal="85" workbookViewId="0">
      <pane ySplit="6" topLeftCell="A31" activePane="bottomLeft" state="frozen"/>
      <selection pane="bottomLeft" activeCell="B35" sqref="B35"/>
    </sheetView>
  </sheetViews>
  <sheetFormatPr defaultRowHeight="14.6" x14ac:dyDescent="0.4"/>
  <cols>
    <col min="1" max="1" width="5.3046875" customWidth="1"/>
    <col min="2" max="2" width="41.3828125" customWidth="1"/>
    <col min="3" max="3" width="15.3828125" customWidth="1"/>
    <col min="4" max="4" width="24.3828125" customWidth="1"/>
    <col min="5" max="9" width="20.69140625" customWidth="1"/>
    <col min="10" max="10" width="3.15234375" customWidth="1"/>
    <col min="11" max="15" width="20.69140625" customWidth="1"/>
    <col min="16" max="16" width="3.15234375" customWidth="1"/>
    <col min="17" max="21" width="20.69140625" customWidth="1"/>
    <col min="22" max="22" width="3.15234375" customWidth="1"/>
    <col min="23" max="27" width="20.69140625" customWidth="1"/>
    <col min="28" max="28" width="3.15234375" customWidth="1"/>
    <col min="29" max="33" width="20.69140625" customWidth="1"/>
    <col min="34" max="34" width="3.15234375" customWidth="1"/>
    <col min="35" max="35" width="19.69140625" customWidth="1"/>
    <col min="36" max="36" width="4.15234375" customWidth="1"/>
    <col min="37" max="37" width="60.53515625" customWidth="1"/>
  </cols>
  <sheetData>
    <row r="1" spans="1:37" ht="15" thickBot="1" x14ac:dyDescent="0.45">
      <c r="A1" s="74" t="s">
        <v>107</v>
      </c>
      <c r="B1" s="63"/>
      <c r="C1" s="63"/>
      <c r="D1" s="129" t="s">
        <v>68</v>
      </c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</row>
    <row r="2" spans="1:37" x14ac:dyDescent="0.4">
      <c r="A2" t="s">
        <v>174</v>
      </c>
      <c r="E2" t="s">
        <v>122</v>
      </c>
      <c r="F2" t="s">
        <v>122</v>
      </c>
      <c r="G2" t="s">
        <v>122</v>
      </c>
      <c r="H2" t="s">
        <v>122</v>
      </c>
      <c r="I2" t="s">
        <v>122</v>
      </c>
      <c r="K2" t="s">
        <v>122</v>
      </c>
      <c r="L2" t="s">
        <v>122</v>
      </c>
      <c r="M2" t="s">
        <v>122</v>
      </c>
      <c r="N2" t="s">
        <v>122</v>
      </c>
      <c r="O2" t="s">
        <v>122</v>
      </c>
      <c r="Q2" t="s">
        <v>122</v>
      </c>
      <c r="R2" t="s">
        <v>122</v>
      </c>
      <c r="S2" t="s">
        <v>122</v>
      </c>
      <c r="T2" t="s">
        <v>122</v>
      </c>
      <c r="U2" t="s">
        <v>122</v>
      </c>
      <c r="W2" t="s">
        <v>122</v>
      </c>
      <c r="X2" t="s">
        <v>122</v>
      </c>
      <c r="Y2" t="s">
        <v>122</v>
      </c>
      <c r="Z2" t="s">
        <v>122</v>
      </c>
      <c r="AA2" t="s">
        <v>122</v>
      </c>
      <c r="AC2" t="s">
        <v>122</v>
      </c>
      <c r="AD2" t="s">
        <v>122</v>
      </c>
      <c r="AE2" t="s">
        <v>122</v>
      </c>
      <c r="AF2" t="s">
        <v>122</v>
      </c>
      <c r="AG2" t="s">
        <v>122</v>
      </c>
    </row>
    <row r="4" spans="1:37" ht="18.899999999999999" thickBot="1" x14ac:dyDescent="0.55000000000000004">
      <c r="A4" s="4" t="s">
        <v>54</v>
      </c>
      <c r="E4" s="65" t="s">
        <v>120</v>
      </c>
      <c r="F4" s="65" t="s">
        <v>120</v>
      </c>
      <c r="G4" s="65" t="s">
        <v>120</v>
      </c>
      <c r="H4" s="65" t="s">
        <v>120</v>
      </c>
      <c r="I4" s="65" t="s">
        <v>120</v>
      </c>
      <c r="J4" s="65"/>
      <c r="K4" s="65" t="s">
        <v>120</v>
      </c>
      <c r="L4" s="65" t="s">
        <v>120</v>
      </c>
      <c r="M4" s="65" t="s">
        <v>120</v>
      </c>
      <c r="N4" s="65" t="s">
        <v>120</v>
      </c>
      <c r="O4" s="65" t="s">
        <v>120</v>
      </c>
      <c r="P4" s="65"/>
      <c r="Q4" s="65" t="s">
        <v>120</v>
      </c>
      <c r="R4" s="65" t="s">
        <v>120</v>
      </c>
      <c r="S4" s="65" t="s">
        <v>120</v>
      </c>
      <c r="T4" s="65" t="s">
        <v>120</v>
      </c>
      <c r="U4" s="65" t="s">
        <v>120</v>
      </c>
      <c r="V4" s="65"/>
      <c r="W4" s="65" t="s">
        <v>120</v>
      </c>
      <c r="X4" s="65" t="s">
        <v>120</v>
      </c>
      <c r="Y4" s="65" t="s">
        <v>120</v>
      </c>
      <c r="Z4" s="65" t="s">
        <v>120</v>
      </c>
      <c r="AA4" s="65" t="s">
        <v>120</v>
      </c>
      <c r="AB4" s="65"/>
      <c r="AC4" s="65" t="s">
        <v>120</v>
      </c>
      <c r="AD4" s="65" t="s">
        <v>120</v>
      </c>
      <c r="AE4" s="65" t="s">
        <v>120</v>
      </c>
      <c r="AF4" s="65" t="s">
        <v>120</v>
      </c>
      <c r="AG4" s="65" t="s">
        <v>120</v>
      </c>
      <c r="AH4" s="65"/>
    </row>
    <row r="5" spans="1:37" ht="15" thickBot="1" x14ac:dyDescent="0.45">
      <c r="B5" t="s">
        <v>76</v>
      </c>
      <c r="C5" s="130" t="s">
        <v>222</v>
      </c>
      <c r="D5" s="234" t="s">
        <v>223</v>
      </c>
      <c r="E5" s="131">
        <v>0.5</v>
      </c>
      <c r="F5" s="131">
        <v>0.75</v>
      </c>
      <c r="G5" s="131">
        <v>1</v>
      </c>
      <c r="H5" s="131">
        <v>1.25</v>
      </c>
      <c r="I5" s="131">
        <v>1.5</v>
      </c>
      <c r="J5" s="134"/>
      <c r="K5" s="131">
        <v>0.5</v>
      </c>
      <c r="L5" s="131">
        <v>0.75</v>
      </c>
      <c r="M5" s="131">
        <v>1</v>
      </c>
      <c r="N5" s="131">
        <v>1.25</v>
      </c>
      <c r="O5" s="131">
        <v>1.5</v>
      </c>
      <c r="P5" s="134"/>
      <c r="Q5" s="131">
        <v>0.5</v>
      </c>
      <c r="R5" s="131">
        <v>0.75</v>
      </c>
      <c r="S5" s="131">
        <v>1</v>
      </c>
      <c r="T5" s="131">
        <v>1.25</v>
      </c>
      <c r="U5" s="131">
        <v>1.5</v>
      </c>
      <c r="V5" s="134"/>
      <c r="W5" s="131">
        <v>0.5</v>
      </c>
      <c r="X5" s="131">
        <v>0.75</v>
      </c>
      <c r="Y5" s="131">
        <v>1</v>
      </c>
      <c r="Z5" s="131">
        <v>1.25</v>
      </c>
      <c r="AA5" s="131">
        <v>1.5</v>
      </c>
      <c r="AB5" s="134"/>
      <c r="AC5" s="131">
        <v>0.5</v>
      </c>
      <c r="AD5" s="131">
        <v>0.75</v>
      </c>
      <c r="AE5" s="131">
        <v>1</v>
      </c>
      <c r="AF5" s="131">
        <v>1.25</v>
      </c>
      <c r="AG5" s="131">
        <v>1.5</v>
      </c>
      <c r="AH5" s="134"/>
    </row>
    <row r="6" spans="1:37" ht="15" thickBot="1" x14ac:dyDescent="0.45">
      <c r="C6" s="64"/>
      <c r="D6" s="234" t="s">
        <v>224</v>
      </c>
      <c r="E6" s="132">
        <v>0</v>
      </c>
      <c r="F6" s="132">
        <v>0</v>
      </c>
      <c r="G6" s="132">
        <v>0</v>
      </c>
      <c r="H6" s="132">
        <v>0</v>
      </c>
      <c r="I6" s="132">
        <v>0</v>
      </c>
      <c r="J6" s="134"/>
      <c r="K6" s="132">
        <v>0.25</v>
      </c>
      <c r="L6" s="132">
        <v>0.25</v>
      </c>
      <c r="M6" s="132">
        <v>0.25</v>
      </c>
      <c r="N6" s="132">
        <v>0.25</v>
      </c>
      <c r="O6" s="132">
        <v>0.25</v>
      </c>
      <c r="P6" s="134"/>
      <c r="Q6" s="132">
        <v>0.5</v>
      </c>
      <c r="R6" s="132">
        <v>0.5</v>
      </c>
      <c r="S6" s="132">
        <v>0.5</v>
      </c>
      <c r="T6" s="132">
        <v>0.5</v>
      </c>
      <c r="U6" s="132">
        <v>0.5</v>
      </c>
      <c r="V6" s="134"/>
      <c r="W6" s="132">
        <v>1</v>
      </c>
      <c r="X6" s="132">
        <v>1</v>
      </c>
      <c r="Y6" s="132">
        <v>1</v>
      </c>
      <c r="Z6" s="132">
        <v>1</v>
      </c>
      <c r="AA6" s="132">
        <v>1</v>
      </c>
      <c r="AB6" s="134"/>
      <c r="AC6" s="132">
        <v>2</v>
      </c>
      <c r="AD6" s="132">
        <v>2</v>
      </c>
      <c r="AE6" s="132">
        <v>2</v>
      </c>
      <c r="AF6" s="132">
        <v>2</v>
      </c>
      <c r="AG6" s="132">
        <v>2</v>
      </c>
      <c r="AH6" s="134"/>
    </row>
    <row r="7" spans="1:37" x14ac:dyDescent="0.4">
      <c r="B7" t="s">
        <v>78</v>
      </c>
      <c r="C7" s="127">
        <f>'Rendite Matrix'!D2</f>
        <v>11</v>
      </c>
      <c r="D7" s="32" t="s">
        <v>79</v>
      </c>
      <c r="E7" s="65">
        <f>$C7</f>
        <v>11</v>
      </c>
      <c r="F7" s="65">
        <f t="shared" ref="F7:I7" si="0">$C7</f>
        <v>11</v>
      </c>
      <c r="G7" s="65">
        <f t="shared" si="0"/>
        <v>11</v>
      </c>
      <c r="H7" s="65">
        <f t="shared" si="0"/>
        <v>11</v>
      </c>
      <c r="I7" s="65">
        <f t="shared" si="0"/>
        <v>11</v>
      </c>
      <c r="J7" s="65"/>
      <c r="K7" s="65">
        <f>$C7</f>
        <v>11</v>
      </c>
      <c r="L7" s="65">
        <f t="shared" ref="L7:O7" si="1">$C7</f>
        <v>11</v>
      </c>
      <c r="M7" s="65">
        <f t="shared" si="1"/>
        <v>11</v>
      </c>
      <c r="N7" s="65">
        <f t="shared" si="1"/>
        <v>11</v>
      </c>
      <c r="O7" s="65">
        <f t="shared" si="1"/>
        <v>11</v>
      </c>
      <c r="P7" s="65"/>
      <c r="Q7" s="65">
        <f>$C7</f>
        <v>11</v>
      </c>
      <c r="R7" s="65">
        <f t="shared" ref="R7:U7" si="2">$C7</f>
        <v>11</v>
      </c>
      <c r="S7" s="65">
        <f t="shared" si="2"/>
        <v>11</v>
      </c>
      <c r="T7" s="65">
        <f t="shared" si="2"/>
        <v>11</v>
      </c>
      <c r="U7" s="65">
        <f t="shared" si="2"/>
        <v>11</v>
      </c>
      <c r="V7" s="65"/>
      <c r="W7" s="65">
        <f>$C7</f>
        <v>11</v>
      </c>
      <c r="X7" s="65">
        <f t="shared" ref="X7:AA7" si="3">$C7</f>
        <v>11</v>
      </c>
      <c r="Y7" s="65">
        <f t="shared" si="3"/>
        <v>11</v>
      </c>
      <c r="Z7" s="65">
        <f t="shared" si="3"/>
        <v>11</v>
      </c>
      <c r="AA7" s="65">
        <f t="shared" si="3"/>
        <v>11</v>
      </c>
      <c r="AB7" s="65"/>
      <c r="AC7" s="65">
        <f>$C7</f>
        <v>11</v>
      </c>
      <c r="AD7" s="65">
        <f t="shared" ref="AD7:AG7" si="4">$C7</f>
        <v>11</v>
      </c>
      <c r="AE7" s="65">
        <f t="shared" si="4"/>
        <v>11</v>
      </c>
      <c r="AF7" s="65">
        <f t="shared" si="4"/>
        <v>11</v>
      </c>
      <c r="AG7" s="65">
        <f t="shared" si="4"/>
        <v>11</v>
      </c>
      <c r="AH7" s="65"/>
      <c r="AI7" s="32" t="s">
        <v>79</v>
      </c>
      <c r="AK7" s="32"/>
    </row>
    <row r="8" spans="1:37" ht="15" thickBot="1" x14ac:dyDescent="0.45">
      <c r="C8" s="127"/>
      <c r="D8" s="32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32"/>
    </row>
    <row r="9" spans="1:37" ht="18.899999999999999" thickBot="1" x14ac:dyDescent="0.55000000000000004">
      <c r="A9" s="4" t="s">
        <v>146</v>
      </c>
      <c r="C9" s="128" t="s">
        <v>153</v>
      </c>
      <c r="D9" s="32"/>
      <c r="E9" s="133" t="s">
        <v>147</v>
      </c>
      <c r="F9" s="133" t="s">
        <v>147</v>
      </c>
      <c r="G9" s="133" t="s">
        <v>147</v>
      </c>
      <c r="H9" s="133" t="s">
        <v>147</v>
      </c>
      <c r="I9" s="133" t="s">
        <v>147</v>
      </c>
      <c r="J9" s="65"/>
      <c r="K9" s="133" t="s">
        <v>147</v>
      </c>
      <c r="L9" s="133" t="s">
        <v>147</v>
      </c>
      <c r="M9" s="133" t="s">
        <v>147</v>
      </c>
      <c r="N9" s="133" t="s">
        <v>147</v>
      </c>
      <c r="O9" s="133" t="s">
        <v>147</v>
      </c>
      <c r="P9" s="65"/>
      <c r="Q9" s="133" t="s">
        <v>147</v>
      </c>
      <c r="R9" s="133" t="s">
        <v>147</v>
      </c>
      <c r="S9" s="133" t="s">
        <v>147</v>
      </c>
      <c r="T9" s="133" t="s">
        <v>147</v>
      </c>
      <c r="U9" s="133" t="s">
        <v>147</v>
      </c>
      <c r="V9" s="65"/>
      <c r="W9" s="133" t="s">
        <v>147</v>
      </c>
      <c r="X9" s="133" t="s">
        <v>147</v>
      </c>
      <c r="Y9" s="133" t="s">
        <v>147</v>
      </c>
      <c r="Z9" s="133" t="s">
        <v>147</v>
      </c>
      <c r="AA9" s="133" t="s">
        <v>147</v>
      </c>
      <c r="AB9" s="65"/>
      <c r="AC9" s="133" t="s">
        <v>147</v>
      </c>
      <c r="AD9" s="133" t="s">
        <v>147</v>
      </c>
      <c r="AE9" s="133" t="s">
        <v>147</v>
      </c>
      <c r="AF9" s="133" t="s">
        <v>147</v>
      </c>
      <c r="AG9" s="133" t="s">
        <v>147</v>
      </c>
      <c r="AH9" s="65"/>
      <c r="AI9" s="32"/>
    </row>
    <row r="10" spans="1:37" x14ac:dyDescent="0.4">
      <c r="C10" s="6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</row>
    <row r="11" spans="1:37" ht="18.899999999999999" thickBot="1" x14ac:dyDescent="0.55000000000000004">
      <c r="A11" s="4" t="s">
        <v>27</v>
      </c>
    </row>
    <row r="12" spans="1:37" ht="15" thickBot="1" x14ac:dyDescent="0.45">
      <c r="B12" t="s">
        <v>55</v>
      </c>
      <c r="C12" s="135">
        <v>45931</v>
      </c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K12" t="s">
        <v>56</v>
      </c>
    </row>
    <row r="13" spans="1:37" ht="15" thickBot="1" x14ac:dyDescent="0.45">
      <c r="B13" t="s">
        <v>80</v>
      </c>
      <c r="C13" s="136"/>
      <c r="E13" s="39">
        <f>E36*E5/1000</f>
        <v>15</v>
      </c>
      <c r="F13" s="39">
        <f t="shared" ref="F13:I13" si="5">F36*F5/1000</f>
        <v>22.5</v>
      </c>
      <c r="G13" s="39">
        <f t="shared" si="5"/>
        <v>30</v>
      </c>
      <c r="H13" s="39">
        <f t="shared" si="5"/>
        <v>37.5</v>
      </c>
      <c r="I13" s="39">
        <f t="shared" si="5"/>
        <v>45</v>
      </c>
      <c r="J13" s="36"/>
      <c r="K13" s="39">
        <f>K36*K5/1000</f>
        <v>15</v>
      </c>
      <c r="L13" s="39">
        <f t="shared" ref="L13:O13" si="6">L36*L5/1000</f>
        <v>22.5</v>
      </c>
      <c r="M13" s="39">
        <f t="shared" si="6"/>
        <v>30</v>
      </c>
      <c r="N13" s="39">
        <f t="shared" si="6"/>
        <v>37.5</v>
      </c>
      <c r="O13" s="39">
        <f t="shared" si="6"/>
        <v>45</v>
      </c>
      <c r="P13" s="36"/>
      <c r="Q13" s="39">
        <f>Q36*Q5/1000</f>
        <v>15</v>
      </c>
      <c r="R13" s="39">
        <f t="shared" ref="R13:U13" si="7">R36*R5/1000</f>
        <v>22.5</v>
      </c>
      <c r="S13" s="39">
        <f t="shared" si="7"/>
        <v>30</v>
      </c>
      <c r="T13" s="39">
        <f t="shared" si="7"/>
        <v>37.5</v>
      </c>
      <c r="U13" s="39">
        <f t="shared" si="7"/>
        <v>45</v>
      </c>
      <c r="V13" s="36"/>
      <c r="W13" s="39">
        <f>W36*W5/1000</f>
        <v>15</v>
      </c>
      <c r="X13" s="39">
        <f t="shared" ref="X13:AA13" si="8">X36*X5/1000</f>
        <v>22.5</v>
      </c>
      <c r="Y13" s="39">
        <f t="shared" si="8"/>
        <v>30</v>
      </c>
      <c r="Z13" s="39">
        <f t="shared" si="8"/>
        <v>37.5</v>
      </c>
      <c r="AA13" s="39">
        <f t="shared" si="8"/>
        <v>45</v>
      </c>
      <c r="AB13" s="36"/>
      <c r="AC13" s="39">
        <f>AC36*AC5/1000</f>
        <v>15</v>
      </c>
      <c r="AD13" s="39">
        <f t="shared" ref="AD13:AG13" si="9">AD36*AD5/1000</f>
        <v>22.5</v>
      </c>
      <c r="AE13" s="39">
        <f t="shared" si="9"/>
        <v>30</v>
      </c>
      <c r="AF13" s="39">
        <f t="shared" si="9"/>
        <v>37.5</v>
      </c>
      <c r="AG13" s="39">
        <f t="shared" si="9"/>
        <v>45</v>
      </c>
      <c r="AH13" s="36"/>
      <c r="AI13" t="s">
        <v>0</v>
      </c>
    </row>
    <row r="14" spans="1:37" ht="15" thickBot="1" x14ac:dyDescent="0.45">
      <c r="B14" t="s">
        <v>23</v>
      </c>
      <c r="E14" s="39">
        <f>E36*E6/1000</f>
        <v>0</v>
      </c>
      <c r="F14" s="39">
        <f t="shared" ref="F14:AG14" si="10">F36*F6/1000</f>
        <v>0</v>
      </c>
      <c r="G14" s="39">
        <f t="shared" si="10"/>
        <v>0</v>
      </c>
      <c r="H14" s="39">
        <f t="shared" si="10"/>
        <v>0</v>
      </c>
      <c r="I14" s="39">
        <f t="shared" si="10"/>
        <v>0</v>
      </c>
      <c r="J14" s="235"/>
      <c r="K14" s="39">
        <f t="shared" si="10"/>
        <v>7.5</v>
      </c>
      <c r="L14" s="39">
        <f t="shared" si="10"/>
        <v>7.5</v>
      </c>
      <c r="M14" s="39">
        <f t="shared" si="10"/>
        <v>7.5</v>
      </c>
      <c r="N14" s="39">
        <f t="shared" si="10"/>
        <v>7.5</v>
      </c>
      <c r="O14" s="39">
        <f t="shared" si="10"/>
        <v>7.5</v>
      </c>
      <c r="P14" s="235">
        <f t="shared" si="10"/>
        <v>0</v>
      </c>
      <c r="Q14" s="39">
        <f t="shared" si="10"/>
        <v>15</v>
      </c>
      <c r="R14" s="39">
        <f t="shared" si="10"/>
        <v>15</v>
      </c>
      <c r="S14" s="39">
        <f t="shared" si="10"/>
        <v>15</v>
      </c>
      <c r="T14" s="39">
        <f t="shared" si="10"/>
        <v>15</v>
      </c>
      <c r="U14" s="39">
        <f t="shared" si="10"/>
        <v>15</v>
      </c>
      <c r="V14" s="235"/>
      <c r="W14" s="39">
        <f t="shared" si="10"/>
        <v>30</v>
      </c>
      <c r="X14" s="39">
        <f t="shared" si="10"/>
        <v>30</v>
      </c>
      <c r="Y14" s="39">
        <f t="shared" si="10"/>
        <v>30</v>
      </c>
      <c r="Z14" s="39">
        <f t="shared" si="10"/>
        <v>30</v>
      </c>
      <c r="AA14" s="39">
        <f t="shared" si="10"/>
        <v>30</v>
      </c>
      <c r="AB14" s="235"/>
      <c r="AC14" s="39">
        <f t="shared" si="10"/>
        <v>60</v>
      </c>
      <c r="AD14" s="39">
        <f t="shared" si="10"/>
        <v>60</v>
      </c>
      <c r="AE14" s="39">
        <f t="shared" si="10"/>
        <v>60</v>
      </c>
      <c r="AF14" s="39">
        <f t="shared" si="10"/>
        <v>60</v>
      </c>
      <c r="AG14" s="39">
        <f t="shared" si="10"/>
        <v>60</v>
      </c>
      <c r="AH14" s="36"/>
      <c r="AI14" t="s">
        <v>10</v>
      </c>
    </row>
    <row r="16" spans="1:37" s="4" customFormat="1" ht="18.899999999999999" thickBot="1" x14ac:dyDescent="0.55000000000000004">
      <c r="A16" s="4" t="s">
        <v>9</v>
      </c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5" thickBot="1" x14ac:dyDescent="0.45">
      <c r="A17" s="2"/>
      <c r="B17" s="33" t="s">
        <v>136</v>
      </c>
      <c r="C17" s="38">
        <v>3000</v>
      </c>
      <c r="D17" s="2"/>
      <c r="E17" s="9">
        <f>$C17</f>
        <v>3000</v>
      </c>
      <c r="F17" s="9">
        <f t="shared" ref="F17:I18" si="11">$C17</f>
        <v>3000</v>
      </c>
      <c r="G17" s="9">
        <f t="shared" si="11"/>
        <v>3000</v>
      </c>
      <c r="H17" s="9">
        <f t="shared" si="11"/>
        <v>3000</v>
      </c>
      <c r="I17" s="9">
        <f t="shared" si="11"/>
        <v>3000</v>
      </c>
      <c r="J17" s="9"/>
      <c r="K17" s="9">
        <f>$C17</f>
        <v>3000</v>
      </c>
      <c r="L17" s="9">
        <f t="shared" ref="L17:O18" si="12">$C17</f>
        <v>3000</v>
      </c>
      <c r="M17" s="9">
        <f t="shared" si="12"/>
        <v>3000</v>
      </c>
      <c r="N17" s="9">
        <f t="shared" si="12"/>
        <v>3000</v>
      </c>
      <c r="O17" s="9">
        <f t="shared" si="12"/>
        <v>3000</v>
      </c>
      <c r="P17" s="9"/>
      <c r="Q17" s="9">
        <f>$C17</f>
        <v>3000</v>
      </c>
      <c r="R17" s="9">
        <f t="shared" ref="R17:U18" si="13">$C17</f>
        <v>3000</v>
      </c>
      <c r="S17" s="9">
        <f t="shared" si="13"/>
        <v>3000</v>
      </c>
      <c r="T17" s="9">
        <f t="shared" si="13"/>
        <v>3000</v>
      </c>
      <c r="U17" s="9">
        <f t="shared" si="13"/>
        <v>3000</v>
      </c>
      <c r="V17" s="9"/>
      <c r="W17" s="9">
        <f>$C17</f>
        <v>3000</v>
      </c>
      <c r="X17" s="9">
        <f t="shared" ref="X17:AA18" si="14">$C17</f>
        <v>3000</v>
      </c>
      <c r="Y17" s="9">
        <f t="shared" si="14"/>
        <v>3000</v>
      </c>
      <c r="Z17" s="9">
        <f t="shared" si="14"/>
        <v>3000</v>
      </c>
      <c r="AA17" s="9">
        <f t="shared" si="14"/>
        <v>3000</v>
      </c>
      <c r="AB17" s="9"/>
      <c r="AC17" s="9">
        <f>$C17</f>
        <v>3000</v>
      </c>
      <c r="AD17" s="9">
        <f t="shared" ref="AD17:AG18" si="15">$C17</f>
        <v>3000</v>
      </c>
      <c r="AE17" s="9">
        <f t="shared" si="15"/>
        <v>3000</v>
      </c>
      <c r="AF17" s="9">
        <f t="shared" si="15"/>
        <v>3000</v>
      </c>
      <c r="AG17" s="9">
        <f t="shared" si="15"/>
        <v>3000</v>
      </c>
      <c r="AH17" s="9"/>
    </row>
    <row r="18" spans="1:37" ht="15" thickBot="1" x14ac:dyDescent="0.45">
      <c r="A18" s="2"/>
      <c r="B18" s="33" t="s">
        <v>129</v>
      </c>
      <c r="C18" s="38">
        <v>1100</v>
      </c>
      <c r="D18" s="2" t="s">
        <v>16</v>
      </c>
      <c r="E18" s="137">
        <f>$C18</f>
        <v>1100</v>
      </c>
      <c r="F18" s="137">
        <f t="shared" si="11"/>
        <v>1100</v>
      </c>
      <c r="G18" s="137">
        <f t="shared" si="11"/>
        <v>1100</v>
      </c>
      <c r="H18" s="137">
        <f t="shared" si="11"/>
        <v>1100</v>
      </c>
      <c r="I18" s="137">
        <f t="shared" si="11"/>
        <v>1100</v>
      </c>
      <c r="J18" s="137"/>
      <c r="K18" s="137">
        <f>$C18</f>
        <v>1100</v>
      </c>
      <c r="L18" s="137">
        <f t="shared" si="12"/>
        <v>1100</v>
      </c>
      <c r="M18" s="137">
        <f t="shared" si="12"/>
        <v>1100</v>
      </c>
      <c r="N18" s="137">
        <f t="shared" si="12"/>
        <v>1100</v>
      </c>
      <c r="O18" s="137">
        <f t="shared" si="12"/>
        <v>1100</v>
      </c>
      <c r="P18" s="137"/>
      <c r="Q18" s="137">
        <f>$C18</f>
        <v>1100</v>
      </c>
      <c r="R18" s="137">
        <f t="shared" si="13"/>
        <v>1100</v>
      </c>
      <c r="S18" s="137">
        <f t="shared" si="13"/>
        <v>1100</v>
      </c>
      <c r="T18" s="137">
        <f t="shared" si="13"/>
        <v>1100</v>
      </c>
      <c r="U18" s="137">
        <f t="shared" si="13"/>
        <v>1100</v>
      </c>
      <c r="V18" s="137"/>
      <c r="W18" s="137">
        <f>$C18</f>
        <v>1100</v>
      </c>
      <c r="X18" s="137">
        <f t="shared" si="14"/>
        <v>1100</v>
      </c>
      <c r="Y18" s="137">
        <f t="shared" si="14"/>
        <v>1100</v>
      </c>
      <c r="Z18" s="137">
        <f t="shared" si="14"/>
        <v>1100</v>
      </c>
      <c r="AA18" s="137">
        <f t="shared" si="14"/>
        <v>1100</v>
      </c>
      <c r="AB18" s="137"/>
      <c r="AC18" s="137">
        <f>$C18</f>
        <v>1100</v>
      </c>
      <c r="AD18" s="137">
        <f t="shared" si="15"/>
        <v>1100</v>
      </c>
      <c r="AE18" s="137">
        <f t="shared" si="15"/>
        <v>1100</v>
      </c>
      <c r="AF18" s="137">
        <f t="shared" si="15"/>
        <v>1100</v>
      </c>
      <c r="AG18" s="137">
        <f t="shared" si="15"/>
        <v>1100</v>
      </c>
      <c r="AH18" s="137"/>
      <c r="AK18" t="s">
        <v>139</v>
      </c>
    </row>
    <row r="19" spans="1:37" x14ac:dyDescent="0.4">
      <c r="A19" s="2"/>
      <c r="B19" s="33" t="s">
        <v>8</v>
      </c>
      <c r="C19" s="9"/>
      <c r="D19" s="2"/>
      <c r="E19" s="9">
        <f>E13*E18</f>
        <v>16500</v>
      </c>
      <c r="F19" s="9">
        <f t="shared" ref="F19:I19" si="16">F13*F18</f>
        <v>24750</v>
      </c>
      <c r="G19" s="9">
        <f t="shared" si="16"/>
        <v>33000</v>
      </c>
      <c r="H19" s="9">
        <f t="shared" si="16"/>
        <v>41250</v>
      </c>
      <c r="I19" s="9">
        <f t="shared" si="16"/>
        <v>49500</v>
      </c>
      <c r="J19" s="9"/>
      <c r="K19" s="9">
        <f>K13*K18</f>
        <v>16500</v>
      </c>
      <c r="L19" s="9">
        <f t="shared" ref="L19" si="17">L13*L18</f>
        <v>24750</v>
      </c>
      <c r="M19" s="9">
        <f t="shared" ref="M19" si="18">M13*M18</f>
        <v>33000</v>
      </c>
      <c r="N19" s="9">
        <f t="shared" ref="N19" si="19">N13*N18</f>
        <v>41250</v>
      </c>
      <c r="O19" s="9">
        <f t="shared" ref="O19" si="20">O13*O18</f>
        <v>49500</v>
      </c>
      <c r="P19" s="9"/>
      <c r="Q19" s="9">
        <f>Q13*Q18</f>
        <v>16500</v>
      </c>
      <c r="R19" s="9">
        <f t="shared" ref="R19" si="21">R13*R18</f>
        <v>24750</v>
      </c>
      <c r="S19" s="9">
        <f t="shared" ref="S19" si="22">S13*S18</f>
        <v>33000</v>
      </c>
      <c r="T19" s="9">
        <f t="shared" ref="T19" si="23">T13*T18</f>
        <v>41250</v>
      </c>
      <c r="U19" s="9">
        <f t="shared" ref="U19" si="24">U13*U18</f>
        <v>49500</v>
      </c>
      <c r="V19" s="9"/>
      <c r="W19" s="9">
        <f>W13*W18</f>
        <v>16500</v>
      </c>
      <c r="X19" s="9">
        <f t="shared" ref="X19" si="25">X13*X18</f>
        <v>24750</v>
      </c>
      <c r="Y19" s="9">
        <f t="shared" ref="Y19" si="26">Y13*Y18</f>
        <v>33000</v>
      </c>
      <c r="Z19" s="9">
        <f t="shared" ref="Z19" si="27">Z13*Z18</f>
        <v>41250</v>
      </c>
      <c r="AA19" s="9">
        <f t="shared" ref="AA19" si="28">AA13*AA18</f>
        <v>49500</v>
      </c>
      <c r="AB19" s="9"/>
      <c r="AC19" s="9">
        <f>AC13*AC18</f>
        <v>16500</v>
      </c>
      <c r="AD19" s="9">
        <f t="shared" ref="AD19" si="29">AD13*AD18</f>
        <v>24750</v>
      </c>
      <c r="AE19" s="9">
        <f t="shared" ref="AE19" si="30">AE13*AE18</f>
        <v>33000</v>
      </c>
      <c r="AF19" s="9">
        <f t="shared" ref="AF19" si="31">AF13*AF18</f>
        <v>41250</v>
      </c>
      <c r="AG19" s="9">
        <f t="shared" ref="AG19" si="32">AG13*AG18</f>
        <v>49500</v>
      </c>
      <c r="AH19" s="9"/>
    </row>
    <row r="20" spans="1:37" ht="15" thickBot="1" x14ac:dyDescent="0.45">
      <c r="A20" s="2"/>
      <c r="B20" s="33" t="s">
        <v>77</v>
      </c>
      <c r="C20" s="9"/>
      <c r="D20" s="2"/>
      <c r="E20" s="127" cm="1">
        <f t="array" ref="E20">_xlfn.SWITCH(E9,"Einzählermodell",1,"Mieterstrom",1,0)</f>
        <v>1</v>
      </c>
      <c r="F20" s="127" cm="1">
        <f t="array" ref="F20">_xlfn.SWITCH(F9,"Einzählermodell",1,"Mieterstrom",1,0)</f>
        <v>1</v>
      </c>
      <c r="G20" s="127" cm="1">
        <f t="array" ref="G20">_xlfn.SWITCH(G9,"Einzählermodell",1,"Mieterstrom",1,0)</f>
        <v>1</v>
      </c>
      <c r="H20" s="127" cm="1">
        <f t="array" ref="H20">_xlfn.SWITCH(H9,"Einzählermodell",1,"Mieterstrom",1,0)</f>
        <v>1</v>
      </c>
      <c r="I20" s="127" cm="1">
        <f t="array" ref="I20">_xlfn.SWITCH(I9,"Einzählermodell",1,"Mieterstrom",1,0)</f>
        <v>1</v>
      </c>
      <c r="J20" s="127"/>
      <c r="K20" s="127" cm="1">
        <f t="array" ref="K20">_xlfn.SWITCH(K9,"Einzählermodell",1,"Mieterstrom",1,0)</f>
        <v>1</v>
      </c>
      <c r="L20" s="127" cm="1">
        <f t="array" ref="L20">_xlfn.SWITCH(L9,"Einzählermodell",1,"Mieterstrom",1,0)</f>
        <v>1</v>
      </c>
      <c r="M20" s="127" cm="1">
        <f t="array" ref="M20">_xlfn.SWITCH(M9,"Einzählermodell",1,"Mieterstrom",1,0)</f>
        <v>1</v>
      </c>
      <c r="N20" s="127" cm="1">
        <f t="array" ref="N20">_xlfn.SWITCH(N9,"Einzählermodell",1,"Mieterstrom",1,0)</f>
        <v>1</v>
      </c>
      <c r="O20" s="127" cm="1">
        <f t="array" ref="O20">_xlfn.SWITCH(O9,"Einzählermodell",1,"Mieterstrom",1,0)</f>
        <v>1</v>
      </c>
      <c r="P20" s="127"/>
      <c r="Q20" s="127" cm="1">
        <f t="array" ref="Q20">_xlfn.SWITCH(Q9,"Einzählermodell",1,"Mieterstrom",1,0)</f>
        <v>1</v>
      </c>
      <c r="R20" s="127" cm="1">
        <f t="array" ref="R20">_xlfn.SWITCH(R9,"Einzählermodell",1,"Mieterstrom",1,0)</f>
        <v>1</v>
      </c>
      <c r="S20" s="127" cm="1">
        <f t="array" ref="S20">_xlfn.SWITCH(S9,"Einzählermodell",1,"Mieterstrom",1,0)</f>
        <v>1</v>
      </c>
      <c r="T20" s="127" cm="1">
        <f t="array" ref="T20">_xlfn.SWITCH(T9,"Einzählermodell",1,"Mieterstrom",1,0)</f>
        <v>1</v>
      </c>
      <c r="U20" s="127" cm="1">
        <f t="array" ref="U20">_xlfn.SWITCH(U9,"Einzählermodell",1,"Mieterstrom",1,0)</f>
        <v>1</v>
      </c>
      <c r="V20" s="127"/>
      <c r="W20" s="127" cm="1">
        <f t="array" ref="W20">_xlfn.SWITCH(W9,"Einzählermodell",1,"Mieterstrom",1,0)</f>
        <v>1</v>
      </c>
      <c r="X20" s="127" cm="1">
        <f t="array" ref="X20">_xlfn.SWITCH(X9,"Einzählermodell",1,"Mieterstrom",1,0)</f>
        <v>1</v>
      </c>
      <c r="Y20" s="127" cm="1">
        <f t="array" ref="Y20">_xlfn.SWITCH(Y9,"Einzählermodell",1,"Mieterstrom",1,0)</f>
        <v>1</v>
      </c>
      <c r="Z20" s="127" cm="1">
        <f t="array" ref="Z20">_xlfn.SWITCH(Z9,"Einzählermodell",1,"Mieterstrom",1,0)</f>
        <v>1</v>
      </c>
      <c r="AA20" s="127" cm="1">
        <f t="array" ref="AA20">_xlfn.SWITCH(AA9,"Einzählermodell",1,"Mieterstrom",1,0)</f>
        <v>1</v>
      </c>
      <c r="AB20" s="127"/>
      <c r="AC20" s="127" cm="1">
        <f t="array" ref="AC20">_xlfn.SWITCH(AC9,"Einzählermodell",1,"Mieterstrom",1,0)</f>
        <v>1</v>
      </c>
      <c r="AD20" s="127" cm="1">
        <f t="array" ref="AD20">_xlfn.SWITCH(AD9,"Einzählermodell",1,"Mieterstrom",1,0)</f>
        <v>1</v>
      </c>
      <c r="AE20" s="127" cm="1">
        <f t="array" ref="AE20">_xlfn.SWITCH(AE9,"Einzählermodell",1,"Mieterstrom",1,0)</f>
        <v>1</v>
      </c>
      <c r="AF20" s="127" cm="1">
        <f t="array" ref="AF20">_xlfn.SWITCH(AF9,"Einzählermodell",1,"Mieterstrom",1,0)</f>
        <v>1</v>
      </c>
      <c r="AG20" s="127" cm="1">
        <f t="array" ref="AG20">_xlfn.SWITCH(AG9,"Einzählermodell",1,"Mieterstrom",1,0)</f>
        <v>1</v>
      </c>
      <c r="AH20" s="127"/>
    </row>
    <row r="21" spans="1:37" ht="15" thickBot="1" x14ac:dyDescent="0.45">
      <c r="A21" s="2"/>
      <c r="B21" s="33" t="s">
        <v>102</v>
      </c>
      <c r="C21" s="38">
        <v>5000</v>
      </c>
      <c r="D21" s="2" t="s">
        <v>145</v>
      </c>
      <c r="E21" s="9">
        <f>IF(AND(E20,E7&gt;=4),$C21,0)</f>
        <v>5000</v>
      </c>
      <c r="F21" s="9">
        <f t="shared" ref="F21:I21" si="33">IF(AND(F20,F7&gt;=4),$C21,0)</f>
        <v>5000</v>
      </c>
      <c r="G21" s="9">
        <f t="shared" si="33"/>
        <v>5000</v>
      </c>
      <c r="H21" s="9">
        <f t="shared" si="33"/>
        <v>5000</v>
      </c>
      <c r="I21" s="9">
        <f t="shared" si="33"/>
        <v>5000</v>
      </c>
      <c r="J21" s="9"/>
      <c r="K21" s="9">
        <f>IF(AND(K20,K7&gt;=4),$C21,0)</f>
        <v>5000</v>
      </c>
      <c r="L21" s="9">
        <f t="shared" ref="L21" si="34">IF(AND(L20,L7&gt;=4),$C21,0)</f>
        <v>5000</v>
      </c>
      <c r="M21" s="9">
        <f t="shared" ref="M21" si="35">IF(AND(M20,M7&gt;=4),$C21,0)</f>
        <v>5000</v>
      </c>
      <c r="N21" s="9">
        <f t="shared" ref="N21" si="36">IF(AND(N20,N7&gt;=4),$C21,0)</f>
        <v>5000</v>
      </c>
      <c r="O21" s="9">
        <f t="shared" ref="O21" si="37">IF(AND(O20,O7&gt;=4),$C21,0)</f>
        <v>5000</v>
      </c>
      <c r="P21" s="9"/>
      <c r="Q21" s="9">
        <f>IF(AND(Q20,Q7&gt;=4),$C21,0)</f>
        <v>5000</v>
      </c>
      <c r="R21" s="9">
        <f t="shared" ref="R21" si="38">IF(AND(R20,R7&gt;=4),$C21,0)</f>
        <v>5000</v>
      </c>
      <c r="S21" s="9">
        <f t="shared" ref="S21" si="39">IF(AND(S20,S7&gt;=4),$C21,0)</f>
        <v>5000</v>
      </c>
      <c r="T21" s="9">
        <f t="shared" ref="T21" si="40">IF(AND(T20,T7&gt;=4),$C21,0)</f>
        <v>5000</v>
      </c>
      <c r="U21" s="9">
        <f t="shared" ref="U21" si="41">IF(AND(U20,U7&gt;=4),$C21,0)</f>
        <v>5000</v>
      </c>
      <c r="V21" s="9"/>
      <c r="W21" s="9">
        <f>IF(AND(W20,W7&gt;=4),$C21,0)</f>
        <v>5000</v>
      </c>
      <c r="X21" s="9">
        <f t="shared" ref="X21" si="42">IF(AND(X20,X7&gt;=4),$C21,0)</f>
        <v>5000</v>
      </c>
      <c r="Y21" s="9">
        <f t="shared" ref="Y21" si="43">IF(AND(Y20,Y7&gt;=4),$C21,0)</f>
        <v>5000</v>
      </c>
      <c r="Z21" s="9">
        <f t="shared" ref="Z21" si="44">IF(AND(Z20,Z7&gt;=4),$C21,0)</f>
        <v>5000</v>
      </c>
      <c r="AA21" s="9">
        <f t="shared" ref="AA21" si="45">IF(AND(AA20,AA7&gt;=4),$C21,0)</f>
        <v>5000</v>
      </c>
      <c r="AB21" s="9"/>
      <c r="AC21" s="9">
        <f>IF(AND(AC20,AC7&gt;=4),$C21,0)</f>
        <v>5000</v>
      </c>
      <c r="AD21" s="9">
        <f t="shared" ref="AD21" si="46">IF(AND(AD20,AD7&gt;=4),$C21,0)</f>
        <v>5000</v>
      </c>
      <c r="AE21" s="9">
        <f t="shared" ref="AE21" si="47">IF(AND(AE20,AE7&gt;=4),$C21,0)</f>
        <v>5000</v>
      </c>
      <c r="AF21" s="9">
        <f t="shared" ref="AF21" si="48">IF(AND(AF20,AF7&gt;=4),$C21,0)</f>
        <v>5000</v>
      </c>
      <c r="AG21" s="9">
        <f t="shared" ref="AG21" si="49">IF(AND(AG20,AG7&gt;=4),$C21,0)</f>
        <v>5000</v>
      </c>
      <c r="AH21" s="9"/>
      <c r="AK21" t="s">
        <v>168</v>
      </c>
    </row>
    <row r="22" spans="1:37" ht="15" thickBot="1" x14ac:dyDescent="0.45">
      <c r="A22" s="2"/>
      <c r="B22" s="33" t="s">
        <v>217</v>
      </c>
      <c r="C22" s="38">
        <v>500</v>
      </c>
      <c r="D22" s="2" t="s">
        <v>2</v>
      </c>
      <c r="E22" s="9">
        <f>E14*$C22</f>
        <v>0</v>
      </c>
      <c r="F22" s="9">
        <f t="shared" ref="F22:I22" si="50">F14*$C22</f>
        <v>0</v>
      </c>
      <c r="G22" s="9">
        <f t="shared" si="50"/>
        <v>0</v>
      </c>
      <c r="H22" s="9">
        <f t="shared" si="50"/>
        <v>0</v>
      </c>
      <c r="I22" s="9">
        <f t="shared" si="50"/>
        <v>0</v>
      </c>
      <c r="J22" s="9"/>
      <c r="K22" s="9">
        <f>K14*$C22</f>
        <v>3750</v>
      </c>
      <c r="L22" s="9">
        <f t="shared" ref="L22:O22" si="51">L14*$C22</f>
        <v>3750</v>
      </c>
      <c r="M22" s="9">
        <f t="shared" si="51"/>
        <v>3750</v>
      </c>
      <c r="N22" s="9">
        <f t="shared" si="51"/>
        <v>3750</v>
      </c>
      <c r="O22" s="9">
        <f t="shared" si="51"/>
        <v>3750</v>
      </c>
      <c r="P22" s="9"/>
      <c r="Q22" s="9">
        <f>Q14*$C22</f>
        <v>7500</v>
      </c>
      <c r="R22" s="9">
        <f t="shared" ref="R22:U22" si="52">R14*$C22</f>
        <v>7500</v>
      </c>
      <c r="S22" s="9">
        <f t="shared" si="52"/>
        <v>7500</v>
      </c>
      <c r="T22" s="9">
        <f t="shared" si="52"/>
        <v>7500</v>
      </c>
      <c r="U22" s="9">
        <f t="shared" si="52"/>
        <v>7500</v>
      </c>
      <c r="V22" s="9"/>
      <c r="W22" s="9">
        <f>W14*$C22</f>
        <v>15000</v>
      </c>
      <c r="X22" s="9">
        <f t="shared" ref="X22:AA22" si="53">X14*$C22</f>
        <v>15000</v>
      </c>
      <c r="Y22" s="9">
        <f t="shared" si="53"/>
        <v>15000</v>
      </c>
      <c r="Z22" s="9">
        <f t="shared" si="53"/>
        <v>15000</v>
      </c>
      <c r="AA22" s="9">
        <f t="shared" si="53"/>
        <v>15000</v>
      </c>
      <c r="AB22" s="9"/>
      <c r="AC22" s="9">
        <f>AC14*$C22</f>
        <v>30000</v>
      </c>
      <c r="AD22" s="9">
        <f t="shared" ref="AD22:AG22" si="54">AD14*$C22</f>
        <v>30000</v>
      </c>
      <c r="AE22" s="9">
        <f t="shared" si="54"/>
        <v>30000</v>
      </c>
      <c r="AF22" s="9">
        <f t="shared" si="54"/>
        <v>30000</v>
      </c>
      <c r="AG22" s="9">
        <f t="shared" si="54"/>
        <v>30000</v>
      </c>
      <c r="AH22" s="9"/>
      <c r="AK22" t="s">
        <v>24</v>
      </c>
    </row>
    <row r="23" spans="1:37" ht="15" thickBot="1" x14ac:dyDescent="0.45">
      <c r="A23" s="2"/>
      <c r="B23" s="33" t="s">
        <v>140</v>
      </c>
      <c r="C23" s="9"/>
      <c r="D23" s="2"/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9"/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9"/>
      <c r="Q23" s="73">
        <v>0</v>
      </c>
      <c r="R23" s="73">
        <v>0</v>
      </c>
      <c r="S23" s="73">
        <v>0</v>
      </c>
      <c r="T23" s="73">
        <v>0</v>
      </c>
      <c r="U23" s="73">
        <v>0</v>
      </c>
      <c r="V23" s="9"/>
      <c r="W23" s="73">
        <v>0</v>
      </c>
      <c r="X23" s="73">
        <v>0</v>
      </c>
      <c r="Y23" s="73">
        <v>0</v>
      </c>
      <c r="Z23" s="73">
        <v>0</v>
      </c>
      <c r="AA23" s="73">
        <v>0</v>
      </c>
      <c r="AB23" s="9"/>
      <c r="AC23" s="73">
        <v>0</v>
      </c>
      <c r="AD23" s="73">
        <v>0</v>
      </c>
      <c r="AE23" s="73">
        <v>0</v>
      </c>
      <c r="AF23" s="73">
        <v>0</v>
      </c>
      <c r="AG23" s="73">
        <v>0</v>
      </c>
      <c r="AH23" s="9"/>
      <c r="AK23" t="s">
        <v>216</v>
      </c>
    </row>
    <row r="24" spans="1:37" x14ac:dyDescent="0.4">
      <c r="A24" s="2"/>
      <c r="B24" s="69" t="s">
        <v>9</v>
      </c>
      <c r="C24" s="71"/>
      <c r="D24" s="69"/>
      <c r="E24" s="70">
        <f t="shared" ref="E24:I24" si="55">E19+E17+E21+E22+E23</f>
        <v>24500</v>
      </c>
      <c r="F24" s="70">
        <f t="shared" si="55"/>
        <v>32750</v>
      </c>
      <c r="G24" s="70">
        <f t="shared" si="55"/>
        <v>41000</v>
      </c>
      <c r="H24" s="70">
        <f t="shared" si="55"/>
        <v>49250</v>
      </c>
      <c r="I24" s="70">
        <f t="shared" si="55"/>
        <v>57500</v>
      </c>
      <c r="J24" s="9"/>
      <c r="K24" s="70">
        <f t="shared" ref="K24:O24" si="56">K19+K17+K21+K22+K23</f>
        <v>28250</v>
      </c>
      <c r="L24" s="70">
        <f t="shared" si="56"/>
        <v>36500</v>
      </c>
      <c r="M24" s="70">
        <f t="shared" si="56"/>
        <v>44750</v>
      </c>
      <c r="N24" s="70">
        <f t="shared" si="56"/>
        <v>53000</v>
      </c>
      <c r="O24" s="70">
        <f t="shared" si="56"/>
        <v>61250</v>
      </c>
      <c r="P24" s="9"/>
      <c r="Q24" s="70">
        <f t="shared" ref="Q24:U24" si="57">Q19+Q17+Q21+Q22+Q23</f>
        <v>32000</v>
      </c>
      <c r="R24" s="70">
        <f t="shared" si="57"/>
        <v>40250</v>
      </c>
      <c r="S24" s="70">
        <f t="shared" si="57"/>
        <v>48500</v>
      </c>
      <c r="T24" s="70">
        <f t="shared" si="57"/>
        <v>56750</v>
      </c>
      <c r="U24" s="70">
        <f t="shared" si="57"/>
        <v>65000</v>
      </c>
      <c r="V24" s="9"/>
      <c r="W24" s="70">
        <f t="shared" ref="W24:AA24" si="58">W19+W17+W21+W22+W23</f>
        <v>39500</v>
      </c>
      <c r="X24" s="70">
        <f t="shared" si="58"/>
        <v>47750</v>
      </c>
      <c r="Y24" s="70">
        <f t="shared" si="58"/>
        <v>56000</v>
      </c>
      <c r="Z24" s="70">
        <f t="shared" si="58"/>
        <v>64250</v>
      </c>
      <c r="AA24" s="70">
        <f t="shared" si="58"/>
        <v>72500</v>
      </c>
      <c r="AB24" s="9"/>
      <c r="AC24" s="70">
        <f t="shared" ref="AC24:AG24" si="59">AC19+AC17+AC21+AC22+AC23</f>
        <v>54500</v>
      </c>
      <c r="AD24" s="70">
        <f t="shared" si="59"/>
        <v>62750</v>
      </c>
      <c r="AE24" s="70">
        <f t="shared" si="59"/>
        <v>71000</v>
      </c>
      <c r="AF24" s="70">
        <f t="shared" si="59"/>
        <v>79250</v>
      </c>
      <c r="AG24" s="70">
        <f t="shared" si="59"/>
        <v>87500</v>
      </c>
      <c r="AH24" s="9"/>
      <c r="AI24" s="69"/>
      <c r="AK24" s="6"/>
    </row>
    <row r="26" spans="1:37" s="4" customFormat="1" ht="18.45" x14ac:dyDescent="0.5">
      <c r="A26" s="104"/>
      <c r="B26" s="109" t="s">
        <v>121</v>
      </c>
      <c r="C26" s="193"/>
      <c r="D26" s="109"/>
      <c r="E26" s="193">
        <f t="shared" ref="E26:I26" si="60">E24/E7</f>
        <v>2227.2727272727275</v>
      </c>
      <c r="F26" s="193">
        <f t="shared" si="60"/>
        <v>2977.2727272727275</v>
      </c>
      <c r="G26" s="193">
        <f t="shared" si="60"/>
        <v>3727.2727272727275</v>
      </c>
      <c r="H26" s="193">
        <f t="shared" si="60"/>
        <v>4477.272727272727</v>
      </c>
      <c r="I26" s="193">
        <f t="shared" si="60"/>
        <v>5227.272727272727</v>
      </c>
      <c r="J26" s="236"/>
      <c r="K26" s="193">
        <f t="shared" ref="K26:O26" si="61">K24/K7</f>
        <v>2568.181818181818</v>
      </c>
      <c r="L26" s="193">
        <f t="shared" si="61"/>
        <v>3318.181818181818</v>
      </c>
      <c r="M26" s="193">
        <f t="shared" si="61"/>
        <v>4068.181818181818</v>
      </c>
      <c r="N26" s="193">
        <f t="shared" si="61"/>
        <v>4818.181818181818</v>
      </c>
      <c r="O26" s="193">
        <f t="shared" si="61"/>
        <v>5568.181818181818</v>
      </c>
      <c r="P26" s="236"/>
      <c r="Q26" s="193">
        <f t="shared" ref="Q26:U26" si="62">Q24/Q7</f>
        <v>2909.090909090909</v>
      </c>
      <c r="R26" s="193">
        <f t="shared" si="62"/>
        <v>3659.090909090909</v>
      </c>
      <c r="S26" s="193">
        <f t="shared" si="62"/>
        <v>4409.090909090909</v>
      </c>
      <c r="T26" s="193">
        <f t="shared" si="62"/>
        <v>5159.090909090909</v>
      </c>
      <c r="U26" s="193">
        <f t="shared" si="62"/>
        <v>5909.090909090909</v>
      </c>
      <c r="V26" s="236"/>
      <c r="W26" s="193">
        <f t="shared" ref="W26:AA26" si="63">W24/W7</f>
        <v>3590.909090909091</v>
      </c>
      <c r="X26" s="193">
        <f t="shared" si="63"/>
        <v>4340.909090909091</v>
      </c>
      <c r="Y26" s="193">
        <f t="shared" si="63"/>
        <v>5090.909090909091</v>
      </c>
      <c r="Z26" s="193">
        <f t="shared" si="63"/>
        <v>5840.909090909091</v>
      </c>
      <c r="AA26" s="193">
        <f t="shared" si="63"/>
        <v>6590.909090909091</v>
      </c>
      <c r="AB26" s="236"/>
      <c r="AC26" s="193">
        <f t="shared" ref="AC26:AG26" si="64">AC24/AC7</f>
        <v>4954.545454545455</v>
      </c>
      <c r="AD26" s="193">
        <f t="shared" si="64"/>
        <v>5704.545454545455</v>
      </c>
      <c r="AE26" s="193">
        <f t="shared" si="64"/>
        <v>6454.545454545455</v>
      </c>
      <c r="AF26" s="193">
        <f t="shared" si="64"/>
        <v>7204.545454545455</v>
      </c>
      <c r="AG26" s="193">
        <f t="shared" si="64"/>
        <v>7954.545454545455</v>
      </c>
      <c r="AH26" s="236"/>
      <c r="AI26" s="109"/>
      <c r="AK26" s="194"/>
    </row>
    <row r="28" spans="1:37" s="53" customFormat="1" ht="18.899999999999999" thickBot="1" x14ac:dyDescent="0.55000000000000004">
      <c r="A28" s="53" t="s">
        <v>25</v>
      </c>
      <c r="C28" s="138"/>
      <c r="D28" s="138"/>
      <c r="E28" s="138"/>
      <c r="F28" s="138"/>
      <c r="G28" s="138"/>
      <c r="H28" s="138"/>
      <c r="I28" s="138"/>
      <c r="J28"/>
      <c r="K28" s="138"/>
      <c r="L28" s="138"/>
      <c r="M28" s="138"/>
      <c r="N28" s="138"/>
      <c r="O28" s="138"/>
      <c r="P28"/>
      <c r="Q28" s="138"/>
      <c r="R28" s="138"/>
      <c r="S28" s="138"/>
      <c r="T28" s="138"/>
      <c r="U28" s="138"/>
      <c r="V28"/>
      <c r="W28" s="138"/>
      <c r="X28" s="138"/>
      <c r="Y28" s="138"/>
      <c r="Z28" s="138"/>
      <c r="AA28" s="138"/>
      <c r="AB28"/>
      <c r="AC28" s="138"/>
      <c r="AD28" s="138"/>
      <c r="AE28" s="138"/>
      <c r="AF28" s="138"/>
      <c r="AG28" s="138"/>
      <c r="AH28"/>
      <c r="AI28" s="138"/>
      <c r="AJ28" s="138"/>
      <c r="AK28" s="138"/>
    </row>
    <row r="29" spans="1:37" ht="15" thickBot="1" x14ac:dyDescent="0.45">
      <c r="B29" s="32" t="s">
        <v>117</v>
      </c>
      <c r="C29" s="139">
        <v>2E-3</v>
      </c>
      <c r="D29" s="2" t="s">
        <v>6</v>
      </c>
      <c r="E29" s="34">
        <f>$C29*20/2</f>
        <v>0.02</v>
      </c>
      <c r="F29" s="34">
        <f t="shared" ref="F29:I29" si="65">$C29*20/2</f>
        <v>0.02</v>
      </c>
      <c r="G29" s="34">
        <f t="shared" si="65"/>
        <v>0.02</v>
      </c>
      <c r="H29" s="34">
        <f t="shared" si="65"/>
        <v>0.02</v>
      </c>
      <c r="I29" s="34">
        <f t="shared" si="65"/>
        <v>0.02</v>
      </c>
      <c r="J29" s="34"/>
      <c r="K29" s="34">
        <f>$C29*20/2</f>
        <v>0.02</v>
      </c>
      <c r="L29" s="34">
        <f t="shared" ref="L29:O29" si="66">$C29*20/2</f>
        <v>0.02</v>
      </c>
      <c r="M29" s="34">
        <f t="shared" si="66"/>
        <v>0.02</v>
      </c>
      <c r="N29" s="34">
        <f t="shared" si="66"/>
        <v>0.02</v>
      </c>
      <c r="O29" s="34">
        <f t="shared" si="66"/>
        <v>0.02</v>
      </c>
      <c r="P29" s="34"/>
      <c r="Q29" s="34">
        <f>$C29*20/2</f>
        <v>0.02</v>
      </c>
      <c r="R29" s="34">
        <f t="shared" ref="R29:U29" si="67">$C29*20/2</f>
        <v>0.02</v>
      </c>
      <c r="S29" s="34">
        <f t="shared" si="67"/>
        <v>0.02</v>
      </c>
      <c r="T29" s="34">
        <f t="shared" si="67"/>
        <v>0.02</v>
      </c>
      <c r="U29" s="34">
        <f t="shared" si="67"/>
        <v>0.02</v>
      </c>
      <c r="V29" s="34"/>
      <c r="W29" s="34">
        <f>$C29*20/2</f>
        <v>0.02</v>
      </c>
      <c r="X29" s="34">
        <f t="shared" ref="X29:AA29" si="68">$C29*20/2</f>
        <v>0.02</v>
      </c>
      <c r="Y29" s="34">
        <f t="shared" si="68"/>
        <v>0.02</v>
      </c>
      <c r="Z29" s="34">
        <f t="shared" si="68"/>
        <v>0.02</v>
      </c>
      <c r="AA29" s="34">
        <f t="shared" si="68"/>
        <v>0.02</v>
      </c>
      <c r="AB29" s="34"/>
      <c r="AC29" s="34">
        <f>$C29*20/2</f>
        <v>0.02</v>
      </c>
      <c r="AD29" s="34">
        <f t="shared" ref="AD29:AG29" si="69">$C29*20/2</f>
        <v>0.02</v>
      </c>
      <c r="AE29" s="34">
        <f t="shared" si="69"/>
        <v>0.02</v>
      </c>
      <c r="AF29" s="34">
        <f t="shared" si="69"/>
        <v>0.02</v>
      </c>
      <c r="AG29" s="34">
        <f t="shared" si="69"/>
        <v>0.02</v>
      </c>
      <c r="AH29" s="34"/>
      <c r="AK29" t="s">
        <v>118</v>
      </c>
    </row>
    <row r="30" spans="1:37" ht="15" thickBot="1" x14ac:dyDescent="0.45">
      <c r="B30" s="32" t="s">
        <v>113</v>
      </c>
      <c r="D30" t="s">
        <v>88</v>
      </c>
      <c r="E30" s="37">
        <v>917</v>
      </c>
      <c r="F30" s="37">
        <v>917</v>
      </c>
      <c r="G30" s="37">
        <v>917</v>
      </c>
      <c r="H30" s="37">
        <v>917</v>
      </c>
      <c r="I30" s="37">
        <v>917</v>
      </c>
      <c r="J30" s="8"/>
      <c r="K30" s="37">
        <v>917</v>
      </c>
      <c r="L30" s="37">
        <v>917</v>
      </c>
      <c r="M30" s="37">
        <v>917</v>
      </c>
      <c r="N30" s="37">
        <v>917</v>
      </c>
      <c r="O30" s="37">
        <v>917</v>
      </c>
      <c r="P30" s="8"/>
      <c r="Q30" s="37">
        <v>917</v>
      </c>
      <c r="R30" s="37">
        <v>917</v>
      </c>
      <c r="S30" s="37">
        <v>917</v>
      </c>
      <c r="T30" s="37">
        <v>917</v>
      </c>
      <c r="U30" s="37">
        <v>917</v>
      </c>
      <c r="V30" s="8"/>
      <c r="W30" s="37">
        <v>917</v>
      </c>
      <c r="X30" s="37">
        <v>917</v>
      </c>
      <c r="Y30" s="37">
        <v>917</v>
      </c>
      <c r="Z30" s="37">
        <v>917</v>
      </c>
      <c r="AA30" s="37">
        <v>917</v>
      </c>
      <c r="AB30" s="8"/>
      <c r="AC30" s="37">
        <v>917</v>
      </c>
      <c r="AD30" s="37">
        <v>917</v>
      </c>
      <c r="AE30" s="37">
        <v>917</v>
      </c>
      <c r="AF30" s="37">
        <v>917</v>
      </c>
      <c r="AG30" s="37">
        <v>917</v>
      </c>
      <c r="AH30" s="8"/>
      <c r="AI30" t="s">
        <v>43</v>
      </c>
      <c r="AK30" t="s">
        <v>112</v>
      </c>
    </row>
    <row r="31" spans="1:37" x14ac:dyDescent="0.4">
      <c r="B31" s="12" t="s">
        <v>114</v>
      </c>
      <c r="C31" s="13"/>
      <c r="D31" s="12"/>
      <c r="E31" s="13">
        <f t="shared" ref="E31:I31" si="70">E13*E30*(1-E29)</f>
        <v>13479.9</v>
      </c>
      <c r="F31" s="13">
        <f t="shared" si="70"/>
        <v>20219.849999999999</v>
      </c>
      <c r="G31" s="13">
        <f t="shared" si="70"/>
        <v>26959.8</v>
      </c>
      <c r="H31" s="13">
        <f t="shared" si="70"/>
        <v>33699.75</v>
      </c>
      <c r="I31" s="13">
        <f t="shared" si="70"/>
        <v>40439.699999999997</v>
      </c>
      <c r="J31" s="68"/>
      <c r="K31" s="13">
        <f t="shared" ref="K31:O31" si="71">K13*K30*(1-K29)</f>
        <v>13479.9</v>
      </c>
      <c r="L31" s="13">
        <f t="shared" si="71"/>
        <v>20219.849999999999</v>
      </c>
      <c r="M31" s="13">
        <f t="shared" si="71"/>
        <v>26959.8</v>
      </c>
      <c r="N31" s="13">
        <f t="shared" si="71"/>
        <v>33699.75</v>
      </c>
      <c r="O31" s="13">
        <f t="shared" si="71"/>
        <v>40439.699999999997</v>
      </c>
      <c r="P31" s="68"/>
      <c r="Q31" s="13">
        <f t="shared" ref="Q31:U31" si="72">Q13*Q30*(1-Q29)</f>
        <v>13479.9</v>
      </c>
      <c r="R31" s="13">
        <f t="shared" si="72"/>
        <v>20219.849999999999</v>
      </c>
      <c r="S31" s="13">
        <f t="shared" si="72"/>
        <v>26959.8</v>
      </c>
      <c r="T31" s="13">
        <f t="shared" si="72"/>
        <v>33699.75</v>
      </c>
      <c r="U31" s="13">
        <f t="shared" si="72"/>
        <v>40439.699999999997</v>
      </c>
      <c r="V31" s="68"/>
      <c r="W31" s="13">
        <f t="shared" ref="W31:AA31" si="73">W13*W30*(1-W29)</f>
        <v>13479.9</v>
      </c>
      <c r="X31" s="13">
        <f t="shared" si="73"/>
        <v>20219.849999999999</v>
      </c>
      <c r="Y31" s="13">
        <f t="shared" si="73"/>
        <v>26959.8</v>
      </c>
      <c r="Z31" s="13">
        <f t="shared" si="73"/>
        <v>33699.75</v>
      </c>
      <c r="AA31" s="13">
        <f t="shared" si="73"/>
        <v>40439.699999999997</v>
      </c>
      <c r="AB31" s="68"/>
      <c r="AC31" s="13">
        <f t="shared" ref="AC31:AG31" si="74">AC13*AC30*(1-AC29)</f>
        <v>13479.9</v>
      </c>
      <c r="AD31" s="13">
        <f t="shared" si="74"/>
        <v>20219.849999999999</v>
      </c>
      <c r="AE31" s="13">
        <f t="shared" si="74"/>
        <v>26959.8</v>
      </c>
      <c r="AF31" s="13">
        <f t="shared" si="74"/>
        <v>33699.75</v>
      </c>
      <c r="AG31" s="13">
        <f t="shared" si="74"/>
        <v>40439.699999999997</v>
      </c>
      <c r="AH31" s="68"/>
      <c r="AI31" s="12" t="s">
        <v>5</v>
      </c>
      <c r="AK31" s="7" t="s">
        <v>116</v>
      </c>
    </row>
    <row r="32" spans="1:37" ht="15" thickBot="1" x14ac:dyDescent="0.45">
      <c r="C32" s="1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K32" s="7"/>
    </row>
    <row r="33" spans="2:37" ht="15" thickBot="1" x14ac:dyDescent="0.45">
      <c r="B33" s="32" t="s">
        <v>111</v>
      </c>
      <c r="C33" s="75">
        <v>2000</v>
      </c>
      <c r="D33" t="s">
        <v>138</v>
      </c>
      <c r="E33" s="8">
        <f t="shared" ref="E33:I33" si="75">$C33*$C7</f>
        <v>22000</v>
      </c>
      <c r="F33" s="8">
        <f t="shared" si="75"/>
        <v>22000</v>
      </c>
      <c r="G33" s="8">
        <f t="shared" si="75"/>
        <v>22000</v>
      </c>
      <c r="H33" s="8">
        <f t="shared" si="75"/>
        <v>22000</v>
      </c>
      <c r="I33" s="8">
        <f t="shared" si="75"/>
        <v>22000</v>
      </c>
      <c r="J33" s="8"/>
      <c r="K33" s="8">
        <f t="shared" ref="K33:O33" si="76">$C33*$C7</f>
        <v>22000</v>
      </c>
      <c r="L33" s="8">
        <f t="shared" si="76"/>
        <v>22000</v>
      </c>
      <c r="M33" s="8">
        <f t="shared" si="76"/>
        <v>22000</v>
      </c>
      <c r="N33" s="8">
        <f t="shared" si="76"/>
        <v>22000</v>
      </c>
      <c r="O33" s="8">
        <f t="shared" si="76"/>
        <v>22000</v>
      </c>
      <c r="P33" s="8"/>
      <c r="Q33" s="8">
        <f t="shared" ref="Q33:U33" si="77">$C33*$C7</f>
        <v>22000</v>
      </c>
      <c r="R33" s="8">
        <f t="shared" si="77"/>
        <v>22000</v>
      </c>
      <c r="S33" s="8">
        <f t="shared" si="77"/>
        <v>22000</v>
      </c>
      <c r="T33" s="8">
        <f t="shared" si="77"/>
        <v>22000</v>
      </c>
      <c r="U33" s="8">
        <f t="shared" si="77"/>
        <v>22000</v>
      </c>
      <c r="V33" s="8"/>
      <c r="W33" s="8">
        <f t="shared" ref="W33:AA33" si="78">$C33*$C7</f>
        <v>22000</v>
      </c>
      <c r="X33" s="8">
        <f t="shared" si="78"/>
        <v>22000</v>
      </c>
      <c r="Y33" s="8">
        <f t="shared" si="78"/>
        <v>22000</v>
      </c>
      <c r="Z33" s="8">
        <f t="shared" si="78"/>
        <v>22000</v>
      </c>
      <c r="AA33" s="8">
        <f t="shared" si="78"/>
        <v>22000</v>
      </c>
      <c r="AB33" s="8"/>
      <c r="AC33" s="8">
        <f t="shared" ref="AC33:AG33" si="79">$C33*$C7</f>
        <v>22000</v>
      </c>
      <c r="AD33" s="8">
        <f t="shared" si="79"/>
        <v>22000</v>
      </c>
      <c r="AE33" s="8">
        <f t="shared" si="79"/>
        <v>22000</v>
      </c>
      <c r="AF33" s="8">
        <f t="shared" si="79"/>
        <v>22000</v>
      </c>
      <c r="AG33" s="8">
        <f t="shared" si="79"/>
        <v>22000</v>
      </c>
      <c r="AH33" s="8"/>
      <c r="AI33" t="s">
        <v>5</v>
      </c>
    </row>
    <row r="34" spans="2:37" ht="15" thickBot="1" x14ac:dyDescent="0.45">
      <c r="B34" s="32" t="s">
        <v>218</v>
      </c>
      <c r="C34" s="8"/>
      <c r="E34" s="75">
        <v>6000</v>
      </c>
      <c r="F34" s="75">
        <v>6000</v>
      </c>
      <c r="G34" s="75">
        <v>6000</v>
      </c>
      <c r="H34" s="75">
        <v>6000</v>
      </c>
      <c r="I34" s="75">
        <v>6000</v>
      </c>
      <c r="J34" s="8"/>
      <c r="K34" s="75">
        <v>6000</v>
      </c>
      <c r="L34" s="75">
        <v>6000</v>
      </c>
      <c r="M34" s="75">
        <v>6000</v>
      </c>
      <c r="N34" s="75">
        <v>6000</v>
      </c>
      <c r="O34" s="75">
        <v>6000</v>
      </c>
      <c r="P34" s="8"/>
      <c r="Q34" s="75">
        <v>6000</v>
      </c>
      <c r="R34" s="75">
        <v>6000</v>
      </c>
      <c r="S34" s="75">
        <v>6000</v>
      </c>
      <c r="T34" s="75">
        <v>6000</v>
      </c>
      <c r="U34" s="75">
        <v>6000</v>
      </c>
      <c r="V34" s="8"/>
      <c r="W34" s="75">
        <v>6000</v>
      </c>
      <c r="X34" s="75">
        <v>6000</v>
      </c>
      <c r="Y34" s="75">
        <v>6000</v>
      </c>
      <c r="Z34" s="75">
        <v>6000</v>
      </c>
      <c r="AA34" s="75">
        <v>6000</v>
      </c>
      <c r="AB34" s="8"/>
      <c r="AC34" s="75">
        <v>6000</v>
      </c>
      <c r="AD34" s="75">
        <v>6000</v>
      </c>
      <c r="AE34" s="75">
        <v>6000</v>
      </c>
      <c r="AF34" s="75">
        <v>6000</v>
      </c>
      <c r="AG34" s="75">
        <v>6000</v>
      </c>
      <c r="AH34" s="8"/>
      <c r="AI34" t="s">
        <v>5</v>
      </c>
    </row>
    <row r="35" spans="2:37" x14ac:dyDescent="0.4">
      <c r="B35" s="32" t="s">
        <v>67</v>
      </c>
      <c r="C35" s="48">
        <v>2000</v>
      </c>
      <c r="D35" t="s">
        <v>5</v>
      </c>
      <c r="E35" s="8">
        <f>$C35</f>
        <v>2000</v>
      </c>
      <c r="F35" s="8">
        <f t="shared" ref="F35:I35" si="80">$C35</f>
        <v>2000</v>
      </c>
      <c r="G35" s="8">
        <f t="shared" si="80"/>
        <v>2000</v>
      </c>
      <c r="H35" s="8">
        <f t="shared" si="80"/>
        <v>2000</v>
      </c>
      <c r="I35" s="8">
        <f t="shared" si="80"/>
        <v>2000</v>
      </c>
      <c r="J35" s="8"/>
      <c r="K35" s="8">
        <f>$C35</f>
        <v>2000</v>
      </c>
      <c r="L35" s="8">
        <f t="shared" ref="L35:O35" si="81">$C35</f>
        <v>2000</v>
      </c>
      <c r="M35" s="8">
        <f t="shared" si="81"/>
        <v>2000</v>
      </c>
      <c r="N35" s="8">
        <f t="shared" si="81"/>
        <v>2000</v>
      </c>
      <c r="O35" s="8">
        <f t="shared" si="81"/>
        <v>2000</v>
      </c>
      <c r="P35" s="8"/>
      <c r="Q35" s="8">
        <f>$C35</f>
        <v>2000</v>
      </c>
      <c r="R35" s="8">
        <f t="shared" ref="R35:U35" si="82">$C35</f>
        <v>2000</v>
      </c>
      <c r="S35" s="8">
        <f t="shared" si="82"/>
        <v>2000</v>
      </c>
      <c r="T35" s="8">
        <f t="shared" si="82"/>
        <v>2000</v>
      </c>
      <c r="U35" s="8">
        <f t="shared" si="82"/>
        <v>2000</v>
      </c>
      <c r="V35" s="8"/>
      <c r="W35" s="8">
        <f>$C35</f>
        <v>2000</v>
      </c>
      <c r="X35" s="8">
        <f t="shared" ref="X35:AA35" si="83">$C35</f>
        <v>2000</v>
      </c>
      <c r="Y35" s="8">
        <f t="shared" si="83"/>
        <v>2000</v>
      </c>
      <c r="Z35" s="8">
        <f t="shared" si="83"/>
        <v>2000</v>
      </c>
      <c r="AA35" s="8">
        <f t="shared" si="83"/>
        <v>2000</v>
      </c>
      <c r="AB35" s="8"/>
      <c r="AC35" s="8">
        <f>$C35</f>
        <v>2000</v>
      </c>
      <c r="AD35" s="8">
        <f t="shared" ref="AD35:AG35" si="84">$C35</f>
        <v>2000</v>
      </c>
      <c r="AE35" s="8">
        <f t="shared" si="84"/>
        <v>2000</v>
      </c>
      <c r="AF35" s="8">
        <f t="shared" si="84"/>
        <v>2000</v>
      </c>
      <c r="AG35" s="8">
        <f t="shared" si="84"/>
        <v>2000</v>
      </c>
      <c r="AH35" s="8"/>
      <c r="AI35" t="s">
        <v>5</v>
      </c>
    </row>
    <row r="36" spans="2:37" x14ac:dyDescent="0.4">
      <c r="B36" s="67" t="s">
        <v>81</v>
      </c>
      <c r="C36" s="140"/>
      <c r="D36" s="140"/>
      <c r="E36" s="68">
        <f>E33+E34+E35</f>
        <v>30000</v>
      </c>
      <c r="F36" s="68">
        <f t="shared" ref="F36:I36" si="85">F33+F34+F35</f>
        <v>30000</v>
      </c>
      <c r="G36" s="68">
        <f t="shared" si="85"/>
        <v>30000</v>
      </c>
      <c r="H36" s="68">
        <f t="shared" si="85"/>
        <v>30000</v>
      </c>
      <c r="I36" s="68">
        <f t="shared" si="85"/>
        <v>30000</v>
      </c>
      <c r="J36" s="68"/>
      <c r="K36" s="68">
        <f>K33+K34+K35</f>
        <v>30000</v>
      </c>
      <c r="L36" s="68">
        <f t="shared" ref="L36" si="86">L33+L34+L35</f>
        <v>30000</v>
      </c>
      <c r="M36" s="68">
        <f t="shared" ref="M36" si="87">M33+M34+M35</f>
        <v>30000</v>
      </c>
      <c r="N36" s="68">
        <f t="shared" ref="N36" si="88">N33+N34+N35</f>
        <v>30000</v>
      </c>
      <c r="O36" s="68">
        <f t="shared" ref="O36" si="89">O33+O34+O35</f>
        <v>30000</v>
      </c>
      <c r="P36" s="68"/>
      <c r="Q36" s="68">
        <f>Q33+Q34+Q35</f>
        <v>30000</v>
      </c>
      <c r="R36" s="68">
        <f t="shared" ref="R36" si="90">R33+R34+R35</f>
        <v>30000</v>
      </c>
      <c r="S36" s="68">
        <f t="shared" ref="S36" si="91">S33+S34+S35</f>
        <v>30000</v>
      </c>
      <c r="T36" s="68">
        <f t="shared" ref="T36" si="92">T33+T34+T35</f>
        <v>30000</v>
      </c>
      <c r="U36" s="68">
        <f t="shared" ref="U36" si="93">U33+U34+U35</f>
        <v>30000</v>
      </c>
      <c r="V36" s="68"/>
      <c r="W36" s="68">
        <f>W33+W34+W35</f>
        <v>30000</v>
      </c>
      <c r="X36" s="68">
        <f t="shared" ref="X36" si="94">X33+X34+X35</f>
        <v>30000</v>
      </c>
      <c r="Y36" s="68">
        <f t="shared" ref="Y36" si="95">Y33+Y34+Y35</f>
        <v>30000</v>
      </c>
      <c r="Z36" s="68">
        <f t="shared" ref="Z36" si="96">Z33+Z34+Z35</f>
        <v>30000</v>
      </c>
      <c r="AA36" s="68">
        <f t="shared" ref="AA36" si="97">AA33+AA34+AA35</f>
        <v>30000</v>
      </c>
      <c r="AB36" s="68"/>
      <c r="AC36" s="68">
        <f>AC33+AC34+AC35</f>
        <v>30000</v>
      </c>
      <c r="AD36" s="68">
        <f t="shared" ref="AD36" si="98">AD33+AD34+AD35</f>
        <v>30000</v>
      </c>
      <c r="AE36" s="68">
        <f t="shared" ref="AE36" si="99">AE33+AE34+AE35</f>
        <v>30000</v>
      </c>
      <c r="AF36" s="68">
        <f t="shared" ref="AF36" si="100">AF33+AF34+AF35</f>
        <v>30000</v>
      </c>
      <c r="AG36" s="68">
        <f t="shared" ref="AG36" si="101">AG33+AG34+AG35</f>
        <v>30000</v>
      </c>
      <c r="AH36" s="68"/>
      <c r="AI36" s="140" t="s">
        <v>5</v>
      </c>
      <c r="AK36" s="28"/>
    </row>
    <row r="37" spans="2:37" x14ac:dyDescent="0.4">
      <c r="B37" s="32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K37" s="28"/>
    </row>
    <row r="38" spans="2:37" s="15" customFormat="1" x14ac:dyDescent="0.4">
      <c r="B38" s="76" t="s">
        <v>164</v>
      </c>
      <c r="C38" s="16"/>
      <c r="E38" s="8" cm="1">
        <f t="array" ref="E38">_xlfn.SWITCH(E9,"Allgemeinstrom",E35,"Einzählermodell",E36,"Einzelanlagen",E33,"GGV",E36,"Mieterstrom",E36,"Volleinspeisung",0)</f>
        <v>30000</v>
      </c>
      <c r="F38" s="8" cm="1">
        <f t="array" ref="F38">_xlfn.SWITCH(F9,"Allgemeinstrom",F35,"Einzählermodell",F36,"Einzelanlagen",F33,"GGV",F36,"Mieterstrom",F36,"Volleinspeisung",0)</f>
        <v>30000</v>
      </c>
      <c r="G38" s="8" cm="1">
        <f t="array" ref="G38">_xlfn.SWITCH(G9,"Allgemeinstrom",G35,"Einzählermodell",G36,"Einzelanlagen",G33,"GGV",G36,"Mieterstrom",G36,"Volleinspeisung",0)</f>
        <v>30000</v>
      </c>
      <c r="H38" s="8" cm="1">
        <f t="array" ref="H38">_xlfn.SWITCH(H9,"Allgemeinstrom",H35,"Einzählermodell",H36,"Einzelanlagen",H33,"GGV",H36,"Mieterstrom",H36,"Volleinspeisung",0)</f>
        <v>30000</v>
      </c>
      <c r="I38" s="8" cm="1">
        <f t="array" ref="I38">_xlfn.SWITCH(I9,"Allgemeinstrom",I35,"Einzählermodell",I36,"Einzelanlagen",I33,"GGV",I36,"Mieterstrom",I36,"Volleinspeisung",0)</f>
        <v>30000</v>
      </c>
      <c r="J38" s="8"/>
      <c r="K38" s="8" cm="1">
        <f t="array" ref="K38">_xlfn.SWITCH(K9,"Allgemeinstrom",K35,"Einzählermodell",K36,"Einzelanlagen",K33,"GGV",K36,"Mieterstrom",K36,"Volleinspeisung",0)</f>
        <v>30000</v>
      </c>
      <c r="L38" s="8" cm="1">
        <f t="array" ref="L38">_xlfn.SWITCH(L9,"Allgemeinstrom",L35,"Einzählermodell",L36,"Einzelanlagen",L33,"GGV",L36,"Mieterstrom",L36,"Volleinspeisung",0)</f>
        <v>30000</v>
      </c>
      <c r="M38" s="8" cm="1">
        <f t="array" ref="M38">_xlfn.SWITCH(M9,"Allgemeinstrom",M35,"Einzählermodell",M36,"Einzelanlagen",M33,"GGV",M36,"Mieterstrom",M36,"Volleinspeisung",0)</f>
        <v>30000</v>
      </c>
      <c r="N38" s="8" cm="1">
        <f t="array" ref="N38">_xlfn.SWITCH(N9,"Allgemeinstrom",N35,"Einzählermodell",N36,"Einzelanlagen",N33,"GGV",N36,"Mieterstrom",N36,"Volleinspeisung",0)</f>
        <v>30000</v>
      </c>
      <c r="O38" s="8" cm="1">
        <f t="array" ref="O38">_xlfn.SWITCH(O9,"Allgemeinstrom",O35,"Einzählermodell",O36,"Einzelanlagen",O33,"GGV",O36,"Mieterstrom",O36,"Volleinspeisung",0)</f>
        <v>30000</v>
      </c>
      <c r="P38" s="8"/>
      <c r="Q38" s="8" cm="1">
        <f t="array" ref="Q38">_xlfn.SWITCH(Q9,"Allgemeinstrom",Q35,"Einzählermodell",Q36,"Einzelanlagen",Q33,"GGV",Q36,"Mieterstrom",Q36,"Volleinspeisung",0)</f>
        <v>30000</v>
      </c>
      <c r="R38" s="8" cm="1">
        <f t="array" ref="R38">_xlfn.SWITCH(R9,"Allgemeinstrom",R35,"Einzählermodell",R36,"Einzelanlagen",R33,"GGV",R36,"Mieterstrom",R36,"Volleinspeisung",0)</f>
        <v>30000</v>
      </c>
      <c r="S38" s="8" cm="1">
        <f t="array" ref="S38">_xlfn.SWITCH(S9,"Allgemeinstrom",S35,"Einzählermodell",S36,"Einzelanlagen",S33,"GGV",S36,"Mieterstrom",S36,"Volleinspeisung",0)</f>
        <v>30000</v>
      </c>
      <c r="T38" s="8" cm="1">
        <f t="array" ref="T38">_xlfn.SWITCH(T9,"Allgemeinstrom",T35,"Einzählermodell",T36,"Einzelanlagen",T33,"GGV",T36,"Mieterstrom",T36,"Volleinspeisung",0)</f>
        <v>30000</v>
      </c>
      <c r="U38" s="8" cm="1">
        <f t="array" ref="U38">_xlfn.SWITCH(U9,"Allgemeinstrom",U35,"Einzählermodell",U36,"Einzelanlagen",U33,"GGV",U36,"Mieterstrom",U36,"Volleinspeisung",0)</f>
        <v>30000</v>
      </c>
      <c r="V38" s="8"/>
      <c r="W38" s="8" cm="1">
        <f t="array" ref="W38">_xlfn.SWITCH(W9,"Allgemeinstrom",W35,"Einzählermodell",W36,"Einzelanlagen",W33,"GGV",W36,"Mieterstrom",W36,"Volleinspeisung",0)</f>
        <v>30000</v>
      </c>
      <c r="X38" s="8" cm="1">
        <f t="array" ref="X38">_xlfn.SWITCH(X9,"Allgemeinstrom",X35,"Einzählermodell",X36,"Einzelanlagen",X33,"GGV",X36,"Mieterstrom",X36,"Volleinspeisung",0)</f>
        <v>30000</v>
      </c>
      <c r="Y38" s="8" cm="1">
        <f t="array" ref="Y38">_xlfn.SWITCH(Y9,"Allgemeinstrom",Y35,"Einzählermodell",Y36,"Einzelanlagen",Y33,"GGV",Y36,"Mieterstrom",Y36,"Volleinspeisung",0)</f>
        <v>30000</v>
      </c>
      <c r="Z38" s="8" cm="1">
        <f t="array" ref="Z38">_xlfn.SWITCH(Z9,"Allgemeinstrom",Z35,"Einzählermodell",Z36,"Einzelanlagen",Z33,"GGV",Z36,"Mieterstrom",Z36,"Volleinspeisung",0)</f>
        <v>30000</v>
      </c>
      <c r="AA38" s="8" cm="1">
        <f t="array" ref="AA38">_xlfn.SWITCH(AA9,"Allgemeinstrom",AA35,"Einzählermodell",AA36,"Einzelanlagen",AA33,"GGV",AA36,"Mieterstrom",AA36,"Volleinspeisung",0)</f>
        <v>30000</v>
      </c>
      <c r="AB38" s="8"/>
      <c r="AC38" s="8" cm="1">
        <f t="array" ref="AC38">_xlfn.SWITCH(AC9,"Allgemeinstrom",AC35,"Einzählermodell",AC36,"Einzelanlagen",AC33,"GGV",AC36,"Mieterstrom",AC36,"Volleinspeisung",0)</f>
        <v>30000</v>
      </c>
      <c r="AD38" s="8" cm="1">
        <f t="array" ref="AD38">_xlfn.SWITCH(AD9,"Allgemeinstrom",AD35,"Einzählermodell",AD36,"Einzelanlagen",AD33,"GGV",AD36,"Mieterstrom",AD36,"Volleinspeisung",0)</f>
        <v>30000</v>
      </c>
      <c r="AE38" s="8" cm="1">
        <f t="array" ref="AE38">_xlfn.SWITCH(AE9,"Allgemeinstrom",AE35,"Einzählermodell",AE36,"Einzelanlagen",AE33,"GGV",AE36,"Mieterstrom",AE36,"Volleinspeisung",0)</f>
        <v>30000</v>
      </c>
      <c r="AF38" s="8" cm="1">
        <f t="array" ref="AF38">_xlfn.SWITCH(AF9,"Allgemeinstrom",AF35,"Einzählermodell",AF36,"Einzelanlagen",AF33,"GGV",AF36,"Mieterstrom",AF36,"Volleinspeisung",0)</f>
        <v>30000</v>
      </c>
      <c r="AG38" s="8" cm="1">
        <f t="array" ref="AG38">_xlfn.SWITCH(AG9,"Allgemeinstrom",AG35,"Einzählermodell",AG36,"Einzelanlagen",AG33,"GGV",AG36,"Mieterstrom",AG36,"Volleinspeisung",0)</f>
        <v>30000</v>
      </c>
      <c r="AH38" s="8"/>
      <c r="AI38" s="47" t="s">
        <v>5</v>
      </c>
      <c r="AK38" s="62"/>
    </row>
    <row r="39" spans="2:37" s="231" customFormat="1" x14ac:dyDescent="0.4">
      <c r="B39" s="228" t="s">
        <v>131</v>
      </c>
      <c r="C39" s="229"/>
      <c r="D39" s="227" t="s">
        <v>194</v>
      </c>
      <c r="E39" s="230">
        <f t="shared" ref="E39:I39" si="102">IF(E9="Volleinspeisung",0,E31/E38)</f>
        <v>0.44933000000000001</v>
      </c>
      <c r="F39" s="230">
        <f t="shared" si="102"/>
        <v>0.6739949999999999</v>
      </c>
      <c r="G39" s="230">
        <f t="shared" si="102"/>
        <v>0.89866000000000001</v>
      </c>
      <c r="H39" s="230">
        <f t="shared" si="102"/>
        <v>1.1233249999999999</v>
      </c>
      <c r="I39" s="230">
        <f t="shared" si="102"/>
        <v>1.3479899999999998</v>
      </c>
      <c r="J39" s="230"/>
      <c r="K39" s="230">
        <f t="shared" ref="K39:O39" si="103">IF(K9="Volleinspeisung",0,K31/K38)</f>
        <v>0.44933000000000001</v>
      </c>
      <c r="L39" s="230">
        <f t="shared" si="103"/>
        <v>0.6739949999999999</v>
      </c>
      <c r="M39" s="230">
        <f t="shared" si="103"/>
        <v>0.89866000000000001</v>
      </c>
      <c r="N39" s="230">
        <f t="shared" si="103"/>
        <v>1.1233249999999999</v>
      </c>
      <c r="O39" s="230">
        <f t="shared" si="103"/>
        <v>1.3479899999999998</v>
      </c>
      <c r="P39" s="230"/>
      <c r="Q39" s="230">
        <f t="shared" ref="Q39:U39" si="104">IF(Q9="Volleinspeisung",0,Q31/Q38)</f>
        <v>0.44933000000000001</v>
      </c>
      <c r="R39" s="230">
        <f t="shared" si="104"/>
        <v>0.6739949999999999</v>
      </c>
      <c r="S39" s="230">
        <f t="shared" si="104"/>
        <v>0.89866000000000001</v>
      </c>
      <c r="T39" s="230">
        <f t="shared" si="104"/>
        <v>1.1233249999999999</v>
      </c>
      <c r="U39" s="230">
        <f t="shared" si="104"/>
        <v>1.3479899999999998</v>
      </c>
      <c r="V39" s="230"/>
      <c r="W39" s="230">
        <f t="shared" ref="W39:AA39" si="105">IF(W9="Volleinspeisung",0,W31/W38)</f>
        <v>0.44933000000000001</v>
      </c>
      <c r="X39" s="230">
        <f t="shared" si="105"/>
        <v>0.6739949999999999</v>
      </c>
      <c r="Y39" s="230">
        <f t="shared" si="105"/>
        <v>0.89866000000000001</v>
      </c>
      <c r="Z39" s="230">
        <f t="shared" si="105"/>
        <v>1.1233249999999999</v>
      </c>
      <c r="AA39" s="230">
        <f t="shared" si="105"/>
        <v>1.3479899999999998</v>
      </c>
      <c r="AB39" s="230"/>
      <c r="AC39" s="230">
        <f t="shared" ref="AC39:AG39" si="106">IF(AC9="Volleinspeisung",0,AC31/AC38)</f>
        <v>0.44933000000000001</v>
      </c>
      <c r="AD39" s="230">
        <f t="shared" si="106"/>
        <v>0.6739949999999999</v>
      </c>
      <c r="AE39" s="230">
        <f t="shared" si="106"/>
        <v>0.89866000000000001</v>
      </c>
      <c r="AF39" s="230">
        <f t="shared" si="106"/>
        <v>1.1233249999999999</v>
      </c>
      <c r="AG39" s="230">
        <f t="shared" si="106"/>
        <v>1.3479899999999998</v>
      </c>
      <c r="AH39" s="230"/>
      <c r="AK39" s="232" t="s">
        <v>192</v>
      </c>
    </row>
    <row r="40" spans="2:37" s="231" customFormat="1" x14ac:dyDescent="0.4">
      <c r="B40" s="228" t="s">
        <v>190</v>
      </c>
      <c r="C40" s="229"/>
      <c r="D40" s="227" t="s">
        <v>194</v>
      </c>
      <c r="E40" s="230">
        <f t="shared" ref="E40:I40" si="107">IF(E9&lt;&gt;"Volleinspeisung",E14/(E38/1000),0)</f>
        <v>0</v>
      </c>
      <c r="F40" s="230">
        <f t="shared" si="107"/>
        <v>0</v>
      </c>
      <c r="G40" s="230">
        <f t="shared" si="107"/>
        <v>0</v>
      </c>
      <c r="H40" s="230">
        <f t="shared" si="107"/>
        <v>0</v>
      </c>
      <c r="I40" s="230">
        <f t="shared" si="107"/>
        <v>0</v>
      </c>
      <c r="J40" s="230"/>
      <c r="K40" s="230">
        <f t="shared" ref="K40:O40" si="108">IF(K9&lt;&gt;"Volleinspeisung",K14/(K38/1000),0)</f>
        <v>0.25</v>
      </c>
      <c r="L40" s="230">
        <f t="shared" si="108"/>
        <v>0.25</v>
      </c>
      <c r="M40" s="230">
        <f t="shared" si="108"/>
        <v>0.25</v>
      </c>
      <c r="N40" s="230">
        <f t="shared" si="108"/>
        <v>0.25</v>
      </c>
      <c r="O40" s="230">
        <f t="shared" si="108"/>
        <v>0.25</v>
      </c>
      <c r="P40" s="230"/>
      <c r="Q40" s="230">
        <f t="shared" ref="Q40:U40" si="109">IF(Q9&lt;&gt;"Volleinspeisung",Q14/(Q38/1000),0)</f>
        <v>0.5</v>
      </c>
      <c r="R40" s="230">
        <f t="shared" si="109"/>
        <v>0.5</v>
      </c>
      <c r="S40" s="230">
        <f t="shared" si="109"/>
        <v>0.5</v>
      </c>
      <c r="T40" s="230">
        <f t="shared" si="109"/>
        <v>0.5</v>
      </c>
      <c r="U40" s="230">
        <f t="shared" si="109"/>
        <v>0.5</v>
      </c>
      <c r="V40" s="230"/>
      <c r="W40" s="230">
        <f t="shared" ref="W40:AA40" si="110">IF(W9&lt;&gt;"Volleinspeisung",W14/(W38/1000),0)</f>
        <v>1</v>
      </c>
      <c r="X40" s="230">
        <f t="shared" si="110"/>
        <v>1</v>
      </c>
      <c r="Y40" s="230">
        <f t="shared" si="110"/>
        <v>1</v>
      </c>
      <c r="Z40" s="230">
        <f t="shared" si="110"/>
        <v>1</v>
      </c>
      <c r="AA40" s="230">
        <f t="shared" si="110"/>
        <v>1</v>
      </c>
      <c r="AB40" s="230"/>
      <c r="AC40" s="230">
        <f t="shared" ref="AC40:AG40" si="111">IF(AC9&lt;&gt;"Volleinspeisung",AC14/(AC38/1000),0)</f>
        <v>2</v>
      </c>
      <c r="AD40" s="230">
        <f t="shared" si="111"/>
        <v>2</v>
      </c>
      <c r="AE40" s="230">
        <f t="shared" si="111"/>
        <v>2</v>
      </c>
      <c r="AF40" s="230">
        <f t="shared" si="111"/>
        <v>2</v>
      </c>
      <c r="AG40" s="230">
        <f t="shared" si="111"/>
        <v>2</v>
      </c>
      <c r="AH40" s="230"/>
      <c r="AK40" s="232" t="s">
        <v>191</v>
      </c>
    </row>
    <row r="41" spans="2:37" x14ac:dyDescent="0.4">
      <c r="B41" s="32" t="s">
        <v>155</v>
      </c>
      <c r="C41" s="141"/>
      <c r="D41" s="227" t="s">
        <v>211</v>
      </c>
      <c r="E41" s="142">
        <f>Direktverbrauchsquote!D78</f>
        <v>0.66800000000000004</v>
      </c>
      <c r="F41" s="142">
        <f>Direktverbrauchsquote!E78</f>
        <v>0.51500000000000001</v>
      </c>
      <c r="G41" s="142">
        <f>Direktverbrauchsquote!F78</f>
        <v>0.41799999999999998</v>
      </c>
      <c r="H41" s="142">
        <f>Direktverbrauchsquote!G78</f>
        <v>0.35199999999999998</v>
      </c>
      <c r="I41" s="142">
        <f>Direktverbrauchsquote!H78</f>
        <v>0.30399999999999999</v>
      </c>
      <c r="J41" s="51"/>
      <c r="K41" s="142">
        <f>Direktverbrauchsquote!D79</f>
        <v>0.77300000000000002</v>
      </c>
      <c r="L41" s="142">
        <f>Direktverbrauchsquote!E79</f>
        <v>0.60499999999999998</v>
      </c>
      <c r="M41" s="142">
        <f>Direktverbrauchsquote!F79</f>
        <v>0.49299999999999999</v>
      </c>
      <c r="N41" s="142">
        <f>Direktverbrauchsquote!G79</f>
        <v>0.41499999999999998</v>
      </c>
      <c r="O41" s="142">
        <f>Direktverbrauchsquote!H79</f>
        <v>0.35899999999999999</v>
      </c>
      <c r="P41" s="51"/>
      <c r="Q41" s="142">
        <f>Direktverbrauchsquote!D80</f>
        <v>0.83399999999999996</v>
      </c>
      <c r="R41" s="142">
        <f>Direktverbrauchsquote!E80</f>
        <v>0.66800000000000004</v>
      </c>
      <c r="S41" s="142">
        <f>Direktverbrauchsquote!F80</f>
        <v>0.55000000000000004</v>
      </c>
      <c r="T41" s="142">
        <f>Direktverbrauchsquote!G80</f>
        <v>0.46600000000000003</v>
      </c>
      <c r="U41" s="142">
        <f>Direktverbrauchsquote!H80</f>
        <v>0.40400000000000003</v>
      </c>
      <c r="V41" s="51"/>
      <c r="W41" s="142">
        <f>Direktverbrauchsquote!D81</f>
        <v>0.89300000000000002</v>
      </c>
      <c r="X41" s="142">
        <f>Direktverbrauchsquote!E81</f>
        <v>0.73399999999999999</v>
      </c>
      <c r="Y41" s="142">
        <f>Direktverbrauchsquote!F81</f>
        <v>0.61199999999999999</v>
      </c>
      <c r="Z41" s="142">
        <f>Direktverbrauchsquote!G81</f>
        <v>0.52200000000000002</v>
      </c>
      <c r="AA41" s="142">
        <f>Direktverbrauchsquote!H81</f>
        <v>0.45500000000000002</v>
      </c>
      <c r="AB41" s="51"/>
      <c r="AC41" s="142">
        <f>Direktverbrauchsquote!D82</f>
        <v>0.89900000000000002</v>
      </c>
      <c r="AD41" s="142">
        <f>Direktverbrauchsquote!E82</f>
        <v>0.748</v>
      </c>
      <c r="AE41" s="142">
        <f>Direktverbrauchsquote!F82</f>
        <v>0.625</v>
      </c>
      <c r="AF41" s="142">
        <f>Direktverbrauchsquote!G82</f>
        <v>0.53100000000000003</v>
      </c>
      <c r="AG41" s="142">
        <f>Direktverbrauchsquote!H82</f>
        <v>0.46100000000000002</v>
      </c>
      <c r="AH41" s="51"/>
      <c r="AK41" t="s">
        <v>205</v>
      </c>
    </row>
    <row r="42" spans="2:37" x14ac:dyDescent="0.4">
      <c r="B42" s="12" t="s">
        <v>156</v>
      </c>
      <c r="C42" s="12"/>
      <c r="D42" s="12"/>
      <c r="E42" s="143">
        <f t="shared" ref="E42:I42" si="112">IF(E9="Volleinspeisung",0,E31*E41)</f>
        <v>9004.5732000000007</v>
      </c>
      <c r="F42" s="143">
        <f t="shared" si="112"/>
        <v>10413.222749999999</v>
      </c>
      <c r="G42" s="143">
        <f t="shared" si="112"/>
        <v>11269.196399999999</v>
      </c>
      <c r="H42" s="143">
        <f t="shared" si="112"/>
        <v>11862.312</v>
      </c>
      <c r="I42" s="143">
        <f t="shared" si="112"/>
        <v>12293.668799999999</v>
      </c>
      <c r="J42" s="144"/>
      <c r="K42" s="143">
        <f t="shared" ref="K42:O42" si="113">IF(K9="Volleinspeisung",0,K31*K41)</f>
        <v>10419.9627</v>
      </c>
      <c r="L42" s="143">
        <f t="shared" si="113"/>
        <v>12233.009249999999</v>
      </c>
      <c r="M42" s="143">
        <f t="shared" si="113"/>
        <v>13291.181399999999</v>
      </c>
      <c r="N42" s="143">
        <f t="shared" si="113"/>
        <v>13985.39625</v>
      </c>
      <c r="O42" s="143">
        <f t="shared" si="113"/>
        <v>14517.852299999999</v>
      </c>
      <c r="P42" s="144"/>
      <c r="Q42" s="143">
        <f t="shared" ref="Q42:U42" si="114">IF(Q9="Volleinspeisung",0,Q31*Q41)</f>
        <v>11242.236599999998</v>
      </c>
      <c r="R42" s="143">
        <f t="shared" si="114"/>
        <v>13506.8598</v>
      </c>
      <c r="S42" s="143">
        <f t="shared" si="114"/>
        <v>14827.890000000001</v>
      </c>
      <c r="T42" s="143">
        <f t="shared" si="114"/>
        <v>15704.083500000001</v>
      </c>
      <c r="U42" s="143">
        <f t="shared" si="114"/>
        <v>16337.638800000001</v>
      </c>
      <c r="V42" s="144"/>
      <c r="W42" s="143">
        <f t="shared" ref="W42:AA42" si="115">IF(W9="Volleinspeisung",0,W31*W41)</f>
        <v>12037.5507</v>
      </c>
      <c r="X42" s="143">
        <f t="shared" si="115"/>
        <v>14841.369899999998</v>
      </c>
      <c r="Y42" s="143">
        <f t="shared" si="115"/>
        <v>16499.3976</v>
      </c>
      <c r="Z42" s="143">
        <f t="shared" si="115"/>
        <v>17591.269500000002</v>
      </c>
      <c r="AA42" s="143">
        <f t="shared" si="115"/>
        <v>18400.0635</v>
      </c>
      <c r="AB42" s="144"/>
      <c r="AC42" s="143">
        <f t="shared" ref="AC42:AG42" si="116">IF(AC9="Volleinspeisung",0,AC31*AC41)</f>
        <v>12118.4301</v>
      </c>
      <c r="AD42" s="143">
        <f t="shared" si="116"/>
        <v>15124.447799999998</v>
      </c>
      <c r="AE42" s="143">
        <f t="shared" si="116"/>
        <v>16849.875</v>
      </c>
      <c r="AF42" s="143">
        <f t="shared" si="116"/>
        <v>17894.56725</v>
      </c>
      <c r="AG42" s="143">
        <f t="shared" si="116"/>
        <v>18642.701699999998</v>
      </c>
      <c r="AH42" s="144"/>
      <c r="AI42" s="12" t="s">
        <v>5</v>
      </c>
      <c r="AK42" t="s">
        <v>193</v>
      </c>
    </row>
    <row r="43" spans="2:37" x14ac:dyDescent="0.4">
      <c r="E43" s="144"/>
      <c r="F43" s="144"/>
      <c r="G43" s="14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</row>
    <row r="44" spans="2:37" x14ac:dyDescent="0.4">
      <c r="B44" s="89" t="s">
        <v>160</v>
      </c>
      <c r="C44" s="90"/>
      <c r="D44" s="91"/>
      <c r="E44" s="192">
        <f t="shared" ref="E44:I44" si="117">IF(E9="Volleinspeisung",0,E41)</f>
        <v>0.66800000000000004</v>
      </c>
      <c r="F44" s="192">
        <f t="shared" si="117"/>
        <v>0.51500000000000001</v>
      </c>
      <c r="G44" s="192">
        <f t="shared" si="117"/>
        <v>0.41799999999999998</v>
      </c>
      <c r="H44" s="192">
        <f t="shared" si="117"/>
        <v>0.35199999999999998</v>
      </c>
      <c r="I44" s="192">
        <f t="shared" si="117"/>
        <v>0.30399999999999999</v>
      </c>
      <c r="J44" s="237"/>
      <c r="K44" s="192">
        <f t="shared" ref="K44:O44" si="118">IF(K9="Volleinspeisung",0,K41)</f>
        <v>0.77300000000000002</v>
      </c>
      <c r="L44" s="192">
        <f t="shared" si="118"/>
        <v>0.60499999999999998</v>
      </c>
      <c r="M44" s="192">
        <f t="shared" si="118"/>
        <v>0.49299999999999999</v>
      </c>
      <c r="N44" s="192">
        <f t="shared" si="118"/>
        <v>0.41499999999999998</v>
      </c>
      <c r="O44" s="192">
        <f t="shared" si="118"/>
        <v>0.35899999999999999</v>
      </c>
      <c r="P44" s="237"/>
      <c r="Q44" s="192">
        <f t="shared" ref="Q44:U44" si="119">IF(Q9="Volleinspeisung",0,Q41)</f>
        <v>0.83399999999999996</v>
      </c>
      <c r="R44" s="192">
        <f t="shared" si="119"/>
        <v>0.66800000000000004</v>
      </c>
      <c r="S44" s="192">
        <f t="shared" si="119"/>
        <v>0.55000000000000004</v>
      </c>
      <c r="T44" s="192">
        <f t="shared" si="119"/>
        <v>0.46600000000000003</v>
      </c>
      <c r="U44" s="192">
        <f t="shared" si="119"/>
        <v>0.40400000000000003</v>
      </c>
      <c r="V44" s="237"/>
      <c r="W44" s="192">
        <f t="shared" ref="W44:AA44" si="120">IF(W9="Volleinspeisung",0,W41)</f>
        <v>0.89300000000000002</v>
      </c>
      <c r="X44" s="192">
        <f t="shared" si="120"/>
        <v>0.73399999999999999</v>
      </c>
      <c r="Y44" s="192">
        <f t="shared" si="120"/>
        <v>0.61199999999999999</v>
      </c>
      <c r="Z44" s="192">
        <f t="shared" si="120"/>
        <v>0.52200000000000002</v>
      </c>
      <c r="AA44" s="192">
        <f t="shared" si="120"/>
        <v>0.45500000000000002</v>
      </c>
      <c r="AB44" s="237"/>
      <c r="AC44" s="192">
        <f t="shared" ref="AC44:AG44" si="121">IF(AC9="Volleinspeisung",0,AC41)</f>
        <v>0.89900000000000002</v>
      </c>
      <c r="AD44" s="192">
        <f t="shared" si="121"/>
        <v>0.748</v>
      </c>
      <c r="AE44" s="192">
        <f t="shared" si="121"/>
        <v>0.625</v>
      </c>
      <c r="AF44" s="192">
        <f t="shared" si="121"/>
        <v>0.53100000000000003</v>
      </c>
      <c r="AG44" s="192">
        <f t="shared" si="121"/>
        <v>0.46100000000000002</v>
      </c>
      <c r="AH44" s="237"/>
      <c r="AI44" s="85"/>
      <c r="AK44" t="s">
        <v>167</v>
      </c>
    </row>
    <row r="45" spans="2:37" s="49" customFormat="1" x14ac:dyDescent="0.4">
      <c r="B45" s="92" t="s">
        <v>66</v>
      </c>
      <c r="C45" s="93"/>
      <c r="D45" s="87"/>
      <c r="E45" s="87">
        <f>E42/E36</f>
        <v>0.30015244000000002</v>
      </c>
      <c r="F45" s="87">
        <f t="shared" ref="F45:I45" si="122">F42/F36</f>
        <v>0.34710742499999997</v>
      </c>
      <c r="G45" s="87">
        <f t="shared" si="122"/>
        <v>0.37563987999999998</v>
      </c>
      <c r="H45" s="87">
        <f t="shared" si="122"/>
        <v>0.3954104</v>
      </c>
      <c r="I45" s="87">
        <f t="shared" si="122"/>
        <v>0.40978895999999998</v>
      </c>
      <c r="J45" s="238"/>
      <c r="K45" s="87">
        <f>K42/K36</f>
        <v>0.34733208999999998</v>
      </c>
      <c r="L45" s="87">
        <f t="shared" ref="L45:O45" si="123">L42/L36</f>
        <v>0.40776697499999998</v>
      </c>
      <c r="M45" s="87">
        <f t="shared" si="123"/>
        <v>0.44303937999999998</v>
      </c>
      <c r="N45" s="87">
        <f t="shared" si="123"/>
        <v>0.46617987499999997</v>
      </c>
      <c r="O45" s="87">
        <f t="shared" si="123"/>
        <v>0.48392840999999998</v>
      </c>
      <c r="P45" s="238"/>
      <c r="Q45" s="87">
        <f>Q42/Q36</f>
        <v>0.37474121999999993</v>
      </c>
      <c r="R45" s="87">
        <f t="shared" ref="R45:U45" si="124">R42/R36</f>
        <v>0.45022866</v>
      </c>
      <c r="S45" s="87">
        <f t="shared" si="124"/>
        <v>0.49426300000000006</v>
      </c>
      <c r="T45" s="87">
        <f t="shared" si="124"/>
        <v>0.52346945</v>
      </c>
      <c r="U45" s="87">
        <f t="shared" si="124"/>
        <v>0.54458795999999998</v>
      </c>
      <c r="V45" s="238"/>
      <c r="W45" s="87">
        <f>W42/W36</f>
        <v>0.40125168999999999</v>
      </c>
      <c r="X45" s="87">
        <f t="shared" ref="X45:AA45" si="125">X42/X36</f>
        <v>0.49471232999999992</v>
      </c>
      <c r="Y45" s="87">
        <f t="shared" si="125"/>
        <v>0.54997991999999996</v>
      </c>
      <c r="Z45" s="87">
        <f t="shared" si="125"/>
        <v>0.58637565000000003</v>
      </c>
      <c r="AA45" s="87">
        <f t="shared" si="125"/>
        <v>0.61333545</v>
      </c>
      <c r="AB45" s="238"/>
      <c r="AC45" s="87">
        <f>AC42/AC36</f>
        <v>0.40394766999999998</v>
      </c>
      <c r="AD45" s="87">
        <f t="shared" ref="AD45:AG45" si="126">AD42/AD36</f>
        <v>0.5041482599999999</v>
      </c>
      <c r="AE45" s="87">
        <f t="shared" si="126"/>
        <v>0.56166249999999995</v>
      </c>
      <c r="AF45" s="87">
        <f t="shared" si="126"/>
        <v>0.59648557499999999</v>
      </c>
      <c r="AG45" s="87">
        <f t="shared" si="126"/>
        <v>0.62142338999999991</v>
      </c>
      <c r="AH45" s="238"/>
      <c r="AI45" s="86"/>
      <c r="AK45" s="49" t="s">
        <v>157</v>
      </c>
    </row>
    <row r="46" spans="2:37" x14ac:dyDescent="0.4">
      <c r="B46" s="89" t="s">
        <v>131</v>
      </c>
      <c r="C46" s="90"/>
      <c r="D46" s="91"/>
      <c r="E46" s="87">
        <f>E31/E36</f>
        <v>0.44933000000000001</v>
      </c>
      <c r="F46" s="87">
        <f t="shared" ref="F46:I46" si="127">F31/F36</f>
        <v>0.6739949999999999</v>
      </c>
      <c r="G46" s="87">
        <f t="shared" si="127"/>
        <v>0.89866000000000001</v>
      </c>
      <c r="H46" s="87">
        <f t="shared" si="127"/>
        <v>1.1233249999999999</v>
      </c>
      <c r="I46" s="87">
        <f t="shared" si="127"/>
        <v>1.3479899999999998</v>
      </c>
      <c r="J46" s="238"/>
      <c r="K46" s="87">
        <f>K31/K36</f>
        <v>0.44933000000000001</v>
      </c>
      <c r="L46" s="87">
        <f t="shared" ref="L46:O46" si="128">L31/L36</f>
        <v>0.6739949999999999</v>
      </c>
      <c r="M46" s="87">
        <f t="shared" si="128"/>
        <v>0.89866000000000001</v>
      </c>
      <c r="N46" s="87">
        <f t="shared" si="128"/>
        <v>1.1233249999999999</v>
      </c>
      <c r="O46" s="87">
        <f t="shared" si="128"/>
        <v>1.3479899999999998</v>
      </c>
      <c r="P46" s="238"/>
      <c r="Q46" s="87">
        <f>Q31/Q36</f>
        <v>0.44933000000000001</v>
      </c>
      <c r="R46" s="87">
        <f t="shared" ref="R46:U46" si="129">R31/R36</f>
        <v>0.6739949999999999</v>
      </c>
      <c r="S46" s="87">
        <f t="shared" si="129"/>
        <v>0.89866000000000001</v>
      </c>
      <c r="T46" s="87">
        <f t="shared" si="129"/>
        <v>1.1233249999999999</v>
      </c>
      <c r="U46" s="87">
        <f t="shared" si="129"/>
        <v>1.3479899999999998</v>
      </c>
      <c r="V46" s="238"/>
      <c r="W46" s="87">
        <f>W31/W36</f>
        <v>0.44933000000000001</v>
      </c>
      <c r="X46" s="87">
        <f t="shared" ref="X46:AA46" si="130">X31/X36</f>
        <v>0.6739949999999999</v>
      </c>
      <c r="Y46" s="87">
        <f t="shared" si="130"/>
        <v>0.89866000000000001</v>
      </c>
      <c r="Z46" s="87">
        <f t="shared" si="130"/>
        <v>1.1233249999999999</v>
      </c>
      <c r="AA46" s="87">
        <f t="shared" si="130"/>
        <v>1.3479899999999998</v>
      </c>
      <c r="AB46" s="238"/>
      <c r="AC46" s="87">
        <f>AC31/AC36</f>
        <v>0.44933000000000001</v>
      </c>
      <c r="AD46" s="87">
        <f t="shared" ref="AD46:AG46" si="131">AD31/AD36</f>
        <v>0.6739949999999999</v>
      </c>
      <c r="AE46" s="87">
        <f t="shared" si="131"/>
        <v>0.89866000000000001</v>
      </c>
      <c r="AF46" s="87">
        <f t="shared" si="131"/>
        <v>1.1233249999999999</v>
      </c>
      <c r="AG46" s="87">
        <f t="shared" si="131"/>
        <v>1.3479899999999998</v>
      </c>
      <c r="AH46" s="238"/>
      <c r="AI46" s="85"/>
      <c r="AK46" t="s">
        <v>82</v>
      </c>
    </row>
    <row r="47" spans="2:37" x14ac:dyDescent="0.4">
      <c r="B47" s="89" t="s">
        <v>45</v>
      </c>
      <c r="C47" s="90"/>
      <c r="D47" s="91"/>
      <c r="E47" s="88">
        <f>E36-E42</f>
        <v>20995.426800000001</v>
      </c>
      <c r="F47" s="88">
        <f t="shared" ref="F47:I47" si="132">F36-F42</f>
        <v>19586.777249999999</v>
      </c>
      <c r="G47" s="88">
        <f t="shared" si="132"/>
        <v>18730.803599999999</v>
      </c>
      <c r="H47" s="88">
        <f t="shared" si="132"/>
        <v>18137.688000000002</v>
      </c>
      <c r="I47" s="88">
        <f t="shared" si="132"/>
        <v>17706.331200000001</v>
      </c>
      <c r="J47" s="239"/>
      <c r="K47" s="88">
        <f>K36-K42</f>
        <v>19580.0373</v>
      </c>
      <c r="L47" s="88">
        <f t="shared" ref="L47:O47" si="133">L36-L42</f>
        <v>17766.990750000001</v>
      </c>
      <c r="M47" s="88">
        <f t="shared" si="133"/>
        <v>16708.818599999999</v>
      </c>
      <c r="N47" s="88">
        <f t="shared" si="133"/>
        <v>16014.60375</v>
      </c>
      <c r="O47" s="88">
        <f t="shared" si="133"/>
        <v>15482.147700000001</v>
      </c>
      <c r="P47" s="239"/>
      <c r="Q47" s="88">
        <f>Q36-Q42</f>
        <v>18757.763400000003</v>
      </c>
      <c r="R47" s="88">
        <f t="shared" ref="R47:U47" si="134">R36-R42</f>
        <v>16493.140200000002</v>
      </c>
      <c r="S47" s="88">
        <f t="shared" si="134"/>
        <v>15172.109999999999</v>
      </c>
      <c r="T47" s="88">
        <f t="shared" si="134"/>
        <v>14295.916499999999</v>
      </c>
      <c r="U47" s="88">
        <f t="shared" si="134"/>
        <v>13662.361199999999</v>
      </c>
      <c r="V47" s="239"/>
      <c r="W47" s="88">
        <f>W36-W42</f>
        <v>17962.4493</v>
      </c>
      <c r="X47" s="88">
        <f t="shared" ref="X47:AA47" si="135">X36-X42</f>
        <v>15158.630100000002</v>
      </c>
      <c r="Y47" s="88">
        <f t="shared" si="135"/>
        <v>13500.6024</v>
      </c>
      <c r="Z47" s="88">
        <f t="shared" si="135"/>
        <v>12408.730499999998</v>
      </c>
      <c r="AA47" s="88">
        <f t="shared" si="135"/>
        <v>11599.9365</v>
      </c>
      <c r="AB47" s="239"/>
      <c r="AC47" s="88">
        <f>AC36-AC42</f>
        <v>17881.569900000002</v>
      </c>
      <c r="AD47" s="88">
        <f t="shared" ref="AD47:AG47" si="136">AD36-AD42</f>
        <v>14875.552200000002</v>
      </c>
      <c r="AE47" s="88">
        <f t="shared" si="136"/>
        <v>13150.125</v>
      </c>
      <c r="AF47" s="88">
        <f t="shared" si="136"/>
        <v>12105.43275</v>
      </c>
      <c r="AG47" s="88">
        <f t="shared" si="136"/>
        <v>11357.298300000002</v>
      </c>
      <c r="AH47" s="239"/>
      <c r="AI47" s="85" t="s">
        <v>5</v>
      </c>
      <c r="AK47" t="s">
        <v>158</v>
      </c>
    </row>
    <row r="48" spans="2:37" x14ac:dyDescent="0.4">
      <c r="B48" s="89" t="s">
        <v>4</v>
      </c>
      <c r="C48" s="90"/>
      <c r="D48" s="91"/>
      <c r="E48" s="145">
        <f>E31-E42</f>
        <v>4475.3267999999989</v>
      </c>
      <c r="F48" s="145">
        <f t="shared" ref="F48:I48" si="137">F31-F42</f>
        <v>9806.6272499999995</v>
      </c>
      <c r="G48" s="145">
        <f t="shared" si="137"/>
        <v>15690.6036</v>
      </c>
      <c r="H48" s="145">
        <f t="shared" si="137"/>
        <v>21837.438000000002</v>
      </c>
      <c r="I48" s="145">
        <f t="shared" si="137"/>
        <v>28146.031199999998</v>
      </c>
      <c r="J48" s="240"/>
      <c r="K48" s="145">
        <f>K31-K42</f>
        <v>3059.9372999999996</v>
      </c>
      <c r="L48" s="145">
        <f t="shared" ref="L48:O48" si="138">L31-L42</f>
        <v>7986.8407499999994</v>
      </c>
      <c r="M48" s="145">
        <f t="shared" si="138"/>
        <v>13668.6186</v>
      </c>
      <c r="N48" s="145">
        <f t="shared" si="138"/>
        <v>19714.353750000002</v>
      </c>
      <c r="O48" s="145">
        <f t="shared" si="138"/>
        <v>25921.847699999998</v>
      </c>
      <c r="P48" s="240"/>
      <c r="Q48" s="145">
        <f>Q31-Q42</f>
        <v>2237.6634000000013</v>
      </c>
      <c r="R48" s="145">
        <f t="shared" ref="R48:U48" si="139">R31-R42</f>
        <v>6712.9901999999984</v>
      </c>
      <c r="S48" s="145">
        <f t="shared" si="139"/>
        <v>12131.909999999998</v>
      </c>
      <c r="T48" s="145">
        <f t="shared" si="139"/>
        <v>17995.666499999999</v>
      </c>
      <c r="U48" s="145">
        <f t="shared" si="139"/>
        <v>24102.061199999996</v>
      </c>
      <c r="V48" s="240"/>
      <c r="W48" s="145">
        <f>W31-W42</f>
        <v>1442.3492999999999</v>
      </c>
      <c r="X48" s="145">
        <f t="shared" ref="X48:AA48" si="140">X31-X42</f>
        <v>5378.4801000000007</v>
      </c>
      <c r="Y48" s="145">
        <f t="shared" si="140"/>
        <v>10460.402399999999</v>
      </c>
      <c r="Z48" s="145">
        <f t="shared" si="140"/>
        <v>16108.480499999998</v>
      </c>
      <c r="AA48" s="145">
        <f t="shared" si="140"/>
        <v>22039.636499999997</v>
      </c>
      <c r="AB48" s="240"/>
      <c r="AC48" s="145">
        <f>AC31-AC42</f>
        <v>1361.4699000000001</v>
      </c>
      <c r="AD48" s="145">
        <f t="shared" ref="AD48:AG48" si="141">AD31-AD42</f>
        <v>5095.4022000000004</v>
      </c>
      <c r="AE48" s="145">
        <f t="shared" si="141"/>
        <v>10109.924999999999</v>
      </c>
      <c r="AF48" s="145">
        <f t="shared" si="141"/>
        <v>15805.18275</v>
      </c>
      <c r="AG48" s="145">
        <f t="shared" si="141"/>
        <v>21796.998299999999</v>
      </c>
      <c r="AH48" s="240"/>
      <c r="AI48" s="85" t="s">
        <v>5</v>
      </c>
      <c r="AK48" t="s">
        <v>159</v>
      </c>
    </row>
    <row r="50" spans="1:37" s="4" customFormat="1" ht="18.45" x14ac:dyDescent="0.5">
      <c r="A50" s="54" t="s">
        <v>72</v>
      </c>
      <c r="B50" s="54"/>
      <c r="C50" s="124"/>
      <c r="D50" s="124"/>
      <c r="E50" s="124"/>
      <c r="F50" s="124"/>
      <c r="G50" s="124"/>
      <c r="H50" s="124"/>
      <c r="I50" s="124"/>
      <c r="J50"/>
      <c r="K50" s="124"/>
      <c r="L50" s="124"/>
      <c r="M50" s="124"/>
      <c r="N50" s="124"/>
      <c r="O50" s="124"/>
      <c r="P50"/>
      <c r="Q50" s="124"/>
      <c r="R50" s="124"/>
      <c r="S50" s="124"/>
      <c r="T50" s="124"/>
      <c r="U50" s="124"/>
      <c r="V50"/>
      <c r="W50" s="124"/>
      <c r="X50" s="124"/>
      <c r="Y50" s="124"/>
      <c r="Z50" s="124"/>
      <c r="AA50" s="124"/>
      <c r="AB50"/>
      <c r="AC50" s="124"/>
      <c r="AD50" s="124"/>
      <c r="AE50" s="124"/>
      <c r="AF50" s="124"/>
      <c r="AG50" s="124"/>
      <c r="AH50"/>
      <c r="AI50" s="124"/>
      <c r="AJ50"/>
      <c r="AK50"/>
    </row>
    <row r="51" spans="1:37" ht="15" thickBot="1" x14ac:dyDescent="0.45">
      <c r="B51" s="32" t="s">
        <v>156</v>
      </c>
      <c r="E51" s="144">
        <f>E42</f>
        <v>9004.5732000000007</v>
      </c>
      <c r="F51" s="144">
        <f t="shared" ref="F51:I51" si="142">F42</f>
        <v>10413.222749999999</v>
      </c>
      <c r="G51" s="144">
        <f t="shared" si="142"/>
        <v>11269.196399999999</v>
      </c>
      <c r="H51" s="144">
        <f t="shared" si="142"/>
        <v>11862.312</v>
      </c>
      <c r="I51" s="144">
        <f t="shared" si="142"/>
        <v>12293.668799999999</v>
      </c>
      <c r="J51" s="144"/>
      <c r="K51" s="144">
        <f>K42</f>
        <v>10419.9627</v>
      </c>
      <c r="L51" s="144">
        <f t="shared" ref="L51:O51" si="143">L42</f>
        <v>12233.009249999999</v>
      </c>
      <c r="M51" s="144">
        <f t="shared" si="143"/>
        <v>13291.181399999999</v>
      </c>
      <c r="N51" s="144">
        <f t="shared" si="143"/>
        <v>13985.39625</v>
      </c>
      <c r="O51" s="144">
        <f t="shared" si="143"/>
        <v>14517.852299999999</v>
      </c>
      <c r="P51" s="144"/>
      <c r="Q51" s="144">
        <f>Q42</f>
        <v>11242.236599999998</v>
      </c>
      <c r="R51" s="144">
        <f t="shared" ref="R51:U51" si="144">R42</f>
        <v>13506.8598</v>
      </c>
      <c r="S51" s="144">
        <f t="shared" si="144"/>
        <v>14827.890000000001</v>
      </c>
      <c r="T51" s="144">
        <f t="shared" si="144"/>
        <v>15704.083500000001</v>
      </c>
      <c r="U51" s="144">
        <f t="shared" si="144"/>
        <v>16337.638800000001</v>
      </c>
      <c r="V51" s="144"/>
      <c r="W51" s="144">
        <f>W42</f>
        <v>12037.5507</v>
      </c>
      <c r="X51" s="144">
        <f t="shared" ref="X51:AA51" si="145">X42</f>
        <v>14841.369899999998</v>
      </c>
      <c r="Y51" s="144">
        <f t="shared" si="145"/>
        <v>16499.3976</v>
      </c>
      <c r="Z51" s="144">
        <f t="shared" si="145"/>
        <v>17591.269500000002</v>
      </c>
      <c r="AA51" s="144">
        <f t="shared" si="145"/>
        <v>18400.0635</v>
      </c>
      <c r="AB51" s="144"/>
      <c r="AC51" s="144">
        <f>AC42</f>
        <v>12118.4301</v>
      </c>
      <c r="AD51" s="144">
        <f t="shared" ref="AD51:AG51" si="146">AD42</f>
        <v>15124.447799999998</v>
      </c>
      <c r="AE51" s="144">
        <f t="shared" si="146"/>
        <v>16849.875</v>
      </c>
      <c r="AF51" s="144">
        <f t="shared" si="146"/>
        <v>17894.56725</v>
      </c>
      <c r="AG51" s="144">
        <f t="shared" si="146"/>
        <v>18642.701699999998</v>
      </c>
      <c r="AH51" s="144"/>
      <c r="AI51" t="s">
        <v>5</v>
      </c>
      <c r="AK51" t="s">
        <v>26</v>
      </c>
    </row>
    <row r="52" spans="1:37" ht="15" thickBot="1" x14ac:dyDescent="0.45">
      <c r="B52" s="32" t="s">
        <v>181</v>
      </c>
      <c r="C52" s="125">
        <v>0.3</v>
      </c>
      <c r="D52" s="2" t="s">
        <v>2</v>
      </c>
      <c r="E52" s="3">
        <f>$C52</f>
        <v>0.3</v>
      </c>
      <c r="F52" s="3">
        <f t="shared" ref="F52:I52" si="147">$C52</f>
        <v>0.3</v>
      </c>
      <c r="G52" s="3">
        <f t="shared" si="147"/>
        <v>0.3</v>
      </c>
      <c r="H52" s="3">
        <f t="shared" si="147"/>
        <v>0.3</v>
      </c>
      <c r="I52" s="3">
        <f t="shared" si="147"/>
        <v>0.3</v>
      </c>
      <c r="J52" s="241"/>
      <c r="K52" s="3">
        <f>$C52</f>
        <v>0.3</v>
      </c>
      <c r="L52" s="3">
        <f t="shared" ref="L52:O52" si="148">$C52</f>
        <v>0.3</v>
      </c>
      <c r="M52" s="3">
        <f t="shared" si="148"/>
        <v>0.3</v>
      </c>
      <c r="N52" s="3">
        <f t="shared" si="148"/>
        <v>0.3</v>
      </c>
      <c r="O52" s="3">
        <f t="shared" si="148"/>
        <v>0.3</v>
      </c>
      <c r="P52" s="241"/>
      <c r="Q52" s="3">
        <f>$C52</f>
        <v>0.3</v>
      </c>
      <c r="R52" s="3">
        <f t="shared" ref="R52:U52" si="149">$C52</f>
        <v>0.3</v>
      </c>
      <c r="S52" s="3">
        <f t="shared" si="149"/>
        <v>0.3</v>
      </c>
      <c r="T52" s="3">
        <f t="shared" si="149"/>
        <v>0.3</v>
      </c>
      <c r="U52" s="3">
        <f t="shared" si="149"/>
        <v>0.3</v>
      </c>
      <c r="V52" s="241"/>
      <c r="W52" s="3">
        <f>$C52</f>
        <v>0.3</v>
      </c>
      <c r="X52" s="3">
        <f t="shared" ref="X52:AA52" si="150">$C52</f>
        <v>0.3</v>
      </c>
      <c r="Y52" s="3">
        <f t="shared" si="150"/>
        <v>0.3</v>
      </c>
      <c r="Z52" s="3">
        <f t="shared" si="150"/>
        <v>0.3</v>
      </c>
      <c r="AA52" s="3">
        <f t="shared" si="150"/>
        <v>0.3</v>
      </c>
      <c r="AB52" s="241"/>
      <c r="AC52" s="3">
        <f>$C52</f>
        <v>0.3</v>
      </c>
      <c r="AD52" s="3">
        <f t="shared" ref="AD52:AG52" si="151">$C52</f>
        <v>0.3</v>
      </c>
      <c r="AE52" s="3">
        <f t="shared" si="151"/>
        <v>0.3</v>
      </c>
      <c r="AF52" s="3">
        <f t="shared" si="151"/>
        <v>0.3</v>
      </c>
      <c r="AG52" s="3">
        <f t="shared" si="151"/>
        <v>0.3</v>
      </c>
      <c r="AH52" s="241"/>
      <c r="AI52" s="2" t="s">
        <v>2</v>
      </c>
    </row>
    <row r="53" spans="1:37" ht="15" thickBot="1" x14ac:dyDescent="0.45">
      <c r="B53" s="32" t="s">
        <v>186</v>
      </c>
      <c r="C53" s="200">
        <v>0.2</v>
      </c>
      <c r="D53" t="s">
        <v>214</v>
      </c>
      <c r="E53" s="203" t="str" cm="1">
        <f t="array" ref="E53">_xlfn.SWITCH(E9,"Mieterstrom",$C53,"GGV",$C53,"entfällt")</f>
        <v>entfällt</v>
      </c>
      <c r="F53" s="203" t="str" cm="1">
        <f t="array" ref="F53">_xlfn.SWITCH(F9,"Mieterstrom",$C53,"GGV",$C53,"entfällt")</f>
        <v>entfällt</v>
      </c>
      <c r="G53" s="203" t="str" cm="1">
        <f t="array" ref="G53">_xlfn.SWITCH(G9,"Mieterstrom",$C53,"GGV",$C53,"entfällt")</f>
        <v>entfällt</v>
      </c>
      <c r="H53" s="203" t="str" cm="1">
        <f t="array" ref="H53">_xlfn.SWITCH(H9,"Mieterstrom",$C53,"GGV",$C53,"entfällt")</f>
        <v>entfällt</v>
      </c>
      <c r="I53" s="203" t="str" cm="1">
        <f t="array" ref="I53">_xlfn.SWITCH(I9,"Mieterstrom",$C53,"GGV",$C53,"entfällt")</f>
        <v>entfällt</v>
      </c>
      <c r="J53" s="242"/>
      <c r="K53" s="203" t="str" cm="1">
        <f t="array" ref="K53">_xlfn.SWITCH(K9,"Mieterstrom",$C53,"GGV",$C53,"entfällt")</f>
        <v>entfällt</v>
      </c>
      <c r="L53" s="203" t="str" cm="1">
        <f t="array" ref="L53">_xlfn.SWITCH(L9,"Mieterstrom",$C53,"GGV",$C53,"entfällt")</f>
        <v>entfällt</v>
      </c>
      <c r="M53" s="203" t="str" cm="1">
        <f t="array" ref="M53">_xlfn.SWITCH(M9,"Mieterstrom",$C53,"GGV",$C53,"entfällt")</f>
        <v>entfällt</v>
      </c>
      <c r="N53" s="203" t="str" cm="1">
        <f t="array" ref="N53">_xlfn.SWITCH(N9,"Mieterstrom",$C53,"GGV",$C53,"entfällt")</f>
        <v>entfällt</v>
      </c>
      <c r="O53" s="203" t="str" cm="1">
        <f t="array" ref="O53">_xlfn.SWITCH(O9,"Mieterstrom",$C53,"GGV",$C53,"entfällt")</f>
        <v>entfällt</v>
      </c>
      <c r="P53" s="242"/>
      <c r="Q53" s="203" t="str" cm="1">
        <f t="array" ref="Q53">_xlfn.SWITCH(Q9,"Mieterstrom",$C53,"GGV",$C53,"entfällt")</f>
        <v>entfällt</v>
      </c>
      <c r="R53" s="203" t="str" cm="1">
        <f t="array" ref="R53">_xlfn.SWITCH(R9,"Mieterstrom",$C53,"GGV",$C53,"entfällt")</f>
        <v>entfällt</v>
      </c>
      <c r="S53" s="203" t="str" cm="1">
        <f t="array" ref="S53">_xlfn.SWITCH(S9,"Mieterstrom",$C53,"GGV",$C53,"entfällt")</f>
        <v>entfällt</v>
      </c>
      <c r="T53" s="203" t="str" cm="1">
        <f t="array" ref="T53">_xlfn.SWITCH(T9,"Mieterstrom",$C53,"GGV",$C53,"entfällt")</f>
        <v>entfällt</v>
      </c>
      <c r="U53" s="203" t="str" cm="1">
        <f t="array" ref="U53">_xlfn.SWITCH(U9,"Mieterstrom",$C53,"GGV",$C53,"entfällt")</f>
        <v>entfällt</v>
      </c>
      <c r="V53" s="242"/>
      <c r="W53" s="203" t="str" cm="1">
        <f t="array" ref="W53">_xlfn.SWITCH(W9,"Mieterstrom",$C53,"GGV",$C53,"entfällt")</f>
        <v>entfällt</v>
      </c>
      <c r="X53" s="203" t="str" cm="1">
        <f t="array" ref="X53">_xlfn.SWITCH(X9,"Mieterstrom",$C53,"GGV",$C53,"entfällt")</f>
        <v>entfällt</v>
      </c>
      <c r="Y53" s="203" t="str" cm="1">
        <f t="array" ref="Y53">_xlfn.SWITCH(Y9,"Mieterstrom",$C53,"GGV",$C53,"entfällt")</f>
        <v>entfällt</v>
      </c>
      <c r="Z53" s="203" t="str" cm="1">
        <f t="array" ref="Z53">_xlfn.SWITCH(Z9,"Mieterstrom",$C53,"GGV",$C53,"entfällt")</f>
        <v>entfällt</v>
      </c>
      <c r="AA53" s="203" t="str" cm="1">
        <f t="array" ref="AA53">_xlfn.SWITCH(AA9,"Mieterstrom",$C53,"GGV",$C53,"entfällt")</f>
        <v>entfällt</v>
      </c>
      <c r="AB53" s="242"/>
      <c r="AC53" s="203" t="str" cm="1">
        <f t="array" ref="AC53">_xlfn.SWITCH(AC9,"Mieterstrom",$C53,"GGV",$C53,"entfällt")</f>
        <v>entfällt</v>
      </c>
      <c r="AD53" s="203" t="str" cm="1">
        <f t="array" ref="AD53">_xlfn.SWITCH(AD9,"Mieterstrom",$C53,"GGV",$C53,"entfällt")</f>
        <v>entfällt</v>
      </c>
      <c r="AE53" s="203" t="str" cm="1">
        <f t="array" ref="AE53">_xlfn.SWITCH(AE9,"Mieterstrom",$C53,"GGV",$C53,"entfällt")</f>
        <v>entfällt</v>
      </c>
      <c r="AF53" s="203" t="str" cm="1">
        <f t="array" ref="AF53">_xlfn.SWITCH(AF9,"Mieterstrom",$C53,"GGV",$C53,"entfällt")</f>
        <v>entfällt</v>
      </c>
      <c r="AG53" s="203" t="str" cm="1">
        <f t="array" ref="AG53">_xlfn.SWITCH(AG9,"Mieterstrom",$C53,"GGV",$C53,"entfällt")</f>
        <v>entfällt</v>
      </c>
      <c r="AH53" s="242"/>
    </row>
    <row r="54" spans="1:37" x14ac:dyDescent="0.4">
      <c r="B54" t="s">
        <v>182</v>
      </c>
      <c r="C54" s="40"/>
      <c r="D54" s="201"/>
      <c r="E54" s="202" cm="1">
        <f t="array" ref="E54">_xlfn.SWITCH(E9,"Mieterstrom",E52*(1-E53),"GGV",E52*(1-E53),E52)</f>
        <v>0.3</v>
      </c>
      <c r="F54" s="202" cm="1">
        <f t="array" ref="F54">_xlfn.SWITCH(F9,"Mieterstrom",F52*(1-F53),"GGV",F52*(1-F53),F52)</f>
        <v>0.3</v>
      </c>
      <c r="G54" s="202" cm="1">
        <f t="array" ref="G54">_xlfn.SWITCH(G9,"Mieterstrom",G52*(1-G53),"GGV",G52*(1-G53),G52)</f>
        <v>0.3</v>
      </c>
      <c r="H54" s="202" cm="1">
        <f t="array" ref="H54">_xlfn.SWITCH(H9,"Mieterstrom",H52*(1-H53),"GGV",H52*(1-H53),H52)</f>
        <v>0.3</v>
      </c>
      <c r="I54" s="202" cm="1">
        <f t="array" ref="I54">_xlfn.SWITCH(I9,"Mieterstrom",I52*(1-I53),"GGV",I52*(1-I53),I52)</f>
        <v>0.3</v>
      </c>
      <c r="J54" s="202"/>
      <c r="K54" s="202" cm="1">
        <f t="array" ref="K54">_xlfn.SWITCH(K9,"Mieterstrom",K52*(1-K53),"GGV",K52*(1-K53),K52)</f>
        <v>0.3</v>
      </c>
      <c r="L54" s="202" cm="1">
        <f t="array" ref="L54">_xlfn.SWITCH(L9,"Mieterstrom",L52*(1-L53),"GGV",L52*(1-L53),L52)</f>
        <v>0.3</v>
      </c>
      <c r="M54" s="202" cm="1">
        <f t="array" ref="M54">_xlfn.SWITCH(M9,"Mieterstrom",M52*(1-M53),"GGV",M52*(1-M53),M52)</f>
        <v>0.3</v>
      </c>
      <c r="N54" s="202" cm="1">
        <f t="array" ref="N54">_xlfn.SWITCH(N9,"Mieterstrom",N52*(1-N53),"GGV",N52*(1-N53),N52)</f>
        <v>0.3</v>
      </c>
      <c r="O54" s="202" cm="1">
        <f t="array" ref="O54">_xlfn.SWITCH(O9,"Mieterstrom",O52*(1-O53),"GGV",O52*(1-O53),O52)</f>
        <v>0.3</v>
      </c>
      <c r="P54" s="202"/>
      <c r="Q54" s="202" cm="1">
        <f t="array" ref="Q54">_xlfn.SWITCH(Q9,"Mieterstrom",Q52*(1-Q53),"GGV",Q52*(1-Q53),Q52)</f>
        <v>0.3</v>
      </c>
      <c r="R54" s="202" cm="1">
        <f t="array" ref="R54">_xlfn.SWITCH(R9,"Mieterstrom",R52*(1-R53),"GGV",R52*(1-R53),R52)</f>
        <v>0.3</v>
      </c>
      <c r="S54" s="202" cm="1">
        <f t="array" ref="S54">_xlfn.SWITCH(S9,"Mieterstrom",S52*(1-S53),"GGV",S52*(1-S53),S52)</f>
        <v>0.3</v>
      </c>
      <c r="T54" s="202" cm="1">
        <f t="array" ref="T54">_xlfn.SWITCH(T9,"Mieterstrom",T52*(1-T53),"GGV",T52*(1-T53),T52)</f>
        <v>0.3</v>
      </c>
      <c r="U54" s="202" cm="1">
        <f t="array" ref="U54">_xlfn.SWITCH(U9,"Mieterstrom",U52*(1-U53),"GGV",U52*(1-U53),U52)</f>
        <v>0.3</v>
      </c>
      <c r="V54" s="202"/>
      <c r="W54" s="202" cm="1">
        <f t="array" ref="W54">_xlfn.SWITCH(W9,"Mieterstrom",W52*(1-W53),"GGV",W52*(1-W53),W52)</f>
        <v>0.3</v>
      </c>
      <c r="X54" s="202" cm="1">
        <f t="array" ref="X54">_xlfn.SWITCH(X9,"Mieterstrom",X52*(1-X53),"GGV",X52*(1-X53),X52)</f>
        <v>0.3</v>
      </c>
      <c r="Y54" s="202" cm="1">
        <f t="array" ref="Y54">_xlfn.SWITCH(Y9,"Mieterstrom",Y52*(1-Y53),"GGV",Y52*(1-Y53),Y52)</f>
        <v>0.3</v>
      </c>
      <c r="Z54" s="202" cm="1">
        <f t="array" ref="Z54">_xlfn.SWITCH(Z9,"Mieterstrom",Z52*(1-Z53),"GGV",Z52*(1-Z53),Z52)</f>
        <v>0.3</v>
      </c>
      <c r="AA54" s="202" cm="1">
        <f t="array" ref="AA54">_xlfn.SWITCH(AA9,"Mieterstrom",AA52*(1-AA53),"GGV",AA52*(1-AA53),AA52)</f>
        <v>0.3</v>
      </c>
      <c r="AB54" s="202"/>
      <c r="AC54" s="202" cm="1">
        <f t="array" ref="AC54">_xlfn.SWITCH(AC9,"Mieterstrom",AC52*(1-AC53),"GGV",AC52*(1-AC53),AC52)</f>
        <v>0.3</v>
      </c>
      <c r="AD54" s="202" cm="1">
        <f t="array" ref="AD54">_xlfn.SWITCH(AD9,"Mieterstrom",AD52*(1-AD53),"GGV",AD52*(1-AD53),AD52)</f>
        <v>0.3</v>
      </c>
      <c r="AE54" s="202" cm="1">
        <f t="array" ref="AE54">_xlfn.SWITCH(AE9,"Mieterstrom",AE52*(1-AE53),"GGV",AE52*(1-AE53),AE52)</f>
        <v>0.3</v>
      </c>
      <c r="AF54" s="202" cm="1">
        <f t="array" ref="AF54">_xlfn.SWITCH(AF9,"Mieterstrom",AF52*(1-AF53),"GGV",AF52*(1-AF53),AF52)</f>
        <v>0.3</v>
      </c>
      <c r="AG54" s="202" cm="1">
        <f t="array" ref="AG54">_xlfn.SWITCH(AG9,"Mieterstrom",AG52*(1-AG53),"GGV",AG52*(1-AG53),AG52)</f>
        <v>0.3</v>
      </c>
      <c r="AH54" s="202"/>
      <c r="AI54" s="126" t="s">
        <v>2</v>
      </c>
      <c r="AJ54" s="2"/>
      <c r="AK54" s="28" t="s">
        <v>101</v>
      </c>
    </row>
    <row r="55" spans="1:37" x14ac:dyDescent="0.4">
      <c r="B55" s="69" t="s">
        <v>161</v>
      </c>
      <c r="C55" s="69"/>
      <c r="D55" s="72"/>
      <c r="E55" s="71">
        <f>E51*E54</f>
        <v>2701.3719599999999</v>
      </c>
      <c r="F55" s="71">
        <f t="shared" ref="F55:I55" si="152">F51*F54</f>
        <v>3123.9668249999995</v>
      </c>
      <c r="G55" s="71">
        <f t="shared" si="152"/>
        <v>3380.7589199999998</v>
      </c>
      <c r="H55" s="71">
        <f t="shared" si="152"/>
        <v>3558.6936000000001</v>
      </c>
      <c r="I55" s="71">
        <f t="shared" si="152"/>
        <v>3688.1006399999997</v>
      </c>
      <c r="J55" s="243"/>
      <c r="K55" s="71">
        <f>K51*K54</f>
        <v>3125.9888099999998</v>
      </c>
      <c r="L55" s="71">
        <f t="shared" ref="L55" si="153">L51*L54</f>
        <v>3669.9027749999996</v>
      </c>
      <c r="M55" s="71">
        <f t="shared" ref="M55" si="154">M51*M54</f>
        <v>3987.3544199999997</v>
      </c>
      <c r="N55" s="71">
        <f t="shared" ref="N55" si="155">N51*N54</f>
        <v>4195.6188750000001</v>
      </c>
      <c r="O55" s="71">
        <f t="shared" ref="O55" si="156">O51*O54</f>
        <v>4355.3556899999994</v>
      </c>
      <c r="P55" s="243"/>
      <c r="Q55" s="71">
        <f>Q51*Q54</f>
        <v>3372.6709799999994</v>
      </c>
      <c r="R55" s="71">
        <f t="shared" ref="R55" si="157">R51*R54</f>
        <v>4052.0579399999997</v>
      </c>
      <c r="S55" s="71">
        <f t="shared" ref="S55" si="158">S51*S54</f>
        <v>4448.3670000000002</v>
      </c>
      <c r="T55" s="71">
        <f t="shared" ref="T55" si="159">T51*T54</f>
        <v>4711.22505</v>
      </c>
      <c r="U55" s="71">
        <f t="shared" ref="U55" si="160">U51*U54</f>
        <v>4901.2916400000004</v>
      </c>
      <c r="V55" s="243"/>
      <c r="W55" s="71">
        <f>W51*W54</f>
        <v>3611.26521</v>
      </c>
      <c r="X55" s="71">
        <f t="shared" ref="X55" si="161">X51*X54</f>
        <v>4452.410969999999</v>
      </c>
      <c r="Y55" s="71">
        <f t="shared" ref="Y55" si="162">Y51*Y54</f>
        <v>4949.8192799999997</v>
      </c>
      <c r="Z55" s="71">
        <f t="shared" ref="Z55" si="163">Z51*Z54</f>
        <v>5277.3808500000005</v>
      </c>
      <c r="AA55" s="71">
        <f t="shared" ref="AA55" si="164">AA51*AA54</f>
        <v>5520.0190499999999</v>
      </c>
      <c r="AB55" s="243"/>
      <c r="AC55" s="71">
        <f>AC51*AC54</f>
        <v>3635.5290299999997</v>
      </c>
      <c r="AD55" s="71">
        <f t="shared" ref="AD55" si="165">AD51*AD54</f>
        <v>4537.3343399999994</v>
      </c>
      <c r="AE55" s="71">
        <f t="shared" ref="AE55" si="166">AE51*AE54</f>
        <v>5054.9624999999996</v>
      </c>
      <c r="AF55" s="71">
        <f t="shared" ref="AF55" si="167">AF51*AF54</f>
        <v>5368.370175</v>
      </c>
      <c r="AG55" s="71">
        <f t="shared" ref="AG55" si="168">AG51*AG54</f>
        <v>5592.8105099999993</v>
      </c>
      <c r="AH55" s="243"/>
      <c r="AI55" s="146" t="s">
        <v>6</v>
      </c>
      <c r="AJ55" s="2"/>
      <c r="AK55" t="s">
        <v>162</v>
      </c>
    </row>
    <row r="57" spans="1:37" x14ac:dyDescent="0.4">
      <c r="B57" s="32" t="s">
        <v>4</v>
      </c>
      <c r="E57" s="144">
        <f>E48</f>
        <v>4475.3267999999989</v>
      </c>
      <c r="F57" s="144">
        <f t="shared" ref="F57:I57" si="169">F48</f>
        <v>9806.6272499999995</v>
      </c>
      <c r="G57" s="144">
        <f t="shared" si="169"/>
        <v>15690.6036</v>
      </c>
      <c r="H57" s="144">
        <f t="shared" si="169"/>
        <v>21837.438000000002</v>
      </c>
      <c r="I57" s="144">
        <f t="shared" si="169"/>
        <v>28146.031199999998</v>
      </c>
      <c r="J57" s="144"/>
      <c r="K57" s="144">
        <f>K48</f>
        <v>3059.9372999999996</v>
      </c>
      <c r="L57" s="144">
        <f t="shared" ref="L57:O57" si="170">L48</f>
        <v>7986.8407499999994</v>
      </c>
      <c r="M57" s="144">
        <f t="shared" si="170"/>
        <v>13668.6186</v>
      </c>
      <c r="N57" s="144">
        <f t="shared" si="170"/>
        <v>19714.353750000002</v>
      </c>
      <c r="O57" s="144">
        <f t="shared" si="170"/>
        <v>25921.847699999998</v>
      </c>
      <c r="P57" s="144"/>
      <c r="Q57" s="144">
        <f>Q48</f>
        <v>2237.6634000000013</v>
      </c>
      <c r="R57" s="144">
        <f t="shared" ref="R57:U57" si="171">R48</f>
        <v>6712.9901999999984</v>
      </c>
      <c r="S57" s="144">
        <f t="shared" si="171"/>
        <v>12131.909999999998</v>
      </c>
      <c r="T57" s="144">
        <f t="shared" si="171"/>
        <v>17995.666499999999</v>
      </c>
      <c r="U57" s="144">
        <f t="shared" si="171"/>
        <v>24102.061199999996</v>
      </c>
      <c r="V57" s="144"/>
      <c r="W57" s="144">
        <f>W48</f>
        <v>1442.3492999999999</v>
      </c>
      <c r="X57" s="144">
        <f t="shared" ref="X57:AA57" si="172">X48</f>
        <v>5378.4801000000007</v>
      </c>
      <c r="Y57" s="144">
        <f t="shared" si="172"/>
        <v>10460.402399999999</v>
      </c>
      <c r="Z57" s="144">
        <f t="shared" si="172"/>
        <v>16108.480499999998</v>
      </c>
      <c r="AA57" s="144">
        <f t="shared" si="172"/>
        <v>22039.636499999997</v>
      </c>
      <c r="AB57" s="144"/>
      <c r="AC57" s="144">
        <f>AC48</f>
        <v>1361.4699000000001</v>
      </c>
      <c r="AD57" s="144">
        <f t="shared" ref="AD57:AG57" si="173">AD48</f>
        <v>5095.4022000000004</v>
      </c>
      <c r="AE57" s="144">
        <f t="shared" si="173"/>
        <v>10109.924999999999</v>
      </c>
      <c r="AF57" s="144">
        <f t="shared" si="173"/>
        <v>15805.18275</v>
      </c>
      <c r="AG57" s="144">
        <f t="shared" si="173"/>
        <v>21796.998299999999</v>
      </c>
      <c r="AH57" s="144"/>
      <c r="AI57" s="2" t="s">
        <v>5</v>
      </c>
      <c r="AJ57" s="2"/>
    </row>
    <row r="58" spans="1:37" ht="15" thickBot="1" x14ac:dyDescent="0.45">
      <c r="B58" s="32" t="s">
        <v>18</v>
      </c>
      <c r="E58" s="147">
        <f>VLOOKUP(E13,Einspeisevergütung!$A$19:$G$119,IF(E9="Volleinspeisung",7,6),TRUE)</f>
        <v>7.5199999999999989E-2</v>
      </c>
      <c r="F58" s="147">
        <f>VLOOKUP(F13,Einspeisevergütung!$A$19:$G$119,IF(F9="Volleinspeisung",7,6),TRUE)</f>
        <v>7.2959999999999997E-2</v>
      </c>
      <c r="G58" s="147">
        <f>VLOOKUP(G13,Einspeisevergütung!$A$19:$G$119,IF(G9="Volleinspeisung",7,6),TRUE)</f>
        <v>7.1679999999999994E-2</v>
      </c>
      <c r="H58" s="147">
        <f>VLOOKUP(H13,Einspeisevergütung!$A$19:$G$119,IF(H9="Volleinspeisung",7,6),TRUE)</f>
        <v>7.1014054054054046E-2</v>
      </c>
      <c r="I58" s="147">
        <f>VLOOKUP(I13,Einspeisevergütung!$A$19:$G$119,IF(I9="Volleinspeisung",7,6),TRUE)</f>
        <v>6.9119999999999987E-2</v>
      </c>
      <c r="J58" s="147"/>
      <c r="K58" s="147">
        <f>VLOOKUP(K13,Einspeisevergütung!$A$19:$G$119,IF(K9="Volleinspeisung",7,6),TRUE)</f>
        <v>7.5199999999999989E-2</v>
      </c>
      <c r="L58" s="147">
        <f>VLOOKUP(L13,Einspeisevergütung!$A$19:$G$119,IF(L9="Volleinspeisung",7,6),TRUE)</f>
        <v>7.2959999999999997E-2</v>
      </c>
      <c r="M58" s="147">
        <f>VLOOKUP(M13,Einspeisevergütung!$A$19:$G$119,IF(M9="Volleinspeisung",7,6),TRUE)</f>
        <v>7.1679999999999994E-2</v>
      </c>
      <c r="N58" s="147">
        <f>VLOOKUP(N13,Einspeisevergütung!$A$19:$G$119,IF(N9="Volleinspeisung",7,6),TRUE)</f>
        <v>7.1014054054054046E-2</v>
      </c>
      <c r="O58" s="147">
        <f>VLOOKUP(O13,Einspeisevergütung!$A$19:$G$119,IF(O9="Volleinspeisung",7,6),TRUE)</f>
        <v>6.9119999999999987E-2</v>
      </c>
      <c r="P58" s="147"/>
      <c r="Q58" s="147">
        <f>VLOOKUP(Q13,Einspeisevergütung!$A$19:$G$119,IF(Q9="Volleinspeisung",7,6),TRUE)</f>
        <v>7.5199999999999989E-2</v>
      </c>
      <c r="R58" s="147">
        <f>VLOOKUP(R13,Einspeisevergütung!$A$19:$G$119,IF(R9="Volleinspeisung",7,6),TRUE)</f>
        <v>7.2959999999999997E-2</v>
      </c>
      <c r="S58" s="147">
        <f>VLOOKUP(S13,Einspeisevergütung!$A$19:$G$119,IF(S9="Volleinspeisung",7,6),TRUE)</f>
        <v>7.1679999999999994E-2</v>
      </c>
      <c r="T58" s="147">
        <f>VLOOKUP(T13,Einspeisevergütung!$A$19:$G$119,IF(T9="Volleinspeisung",7,6),TRUE)</f>
        <v>7.1014054054054046E-2</v>
      </c>
      <c r="U58" s="147">
        <f>VLOOKUP(U13,Einspeisevergütung!$A$19:$G$119,IF(U9="Volleinspeisung",7,6),TRUE)</f>
        <v>6.9119999999999987E-2</v>
      </c>
      <c r="V58" s="147"/>
      <c r="W58" s="147">
        <f>VLOOKUP(W13,Einspeisevergütung!$A$19:$G$119,IF(W9="Volleinspeisung",7,6),TRUE)</f>
        <v>7.5199999999999989E-2</v>
      </c>
      <c r="X58" s="147">
        <f>VLOOKUP(X13,Einspeisevergütung!$A$19:$G$119,IF(X9="Volleinspeisung",7,6),TRUE)</f>
        <v>7.2959999999999997E-2</v>
      </c>
      <c r="Y58" s="147">
        <f>VLOOKUP(Y13,Einspeisevergütung!$A$19:$G$119,IF(Y9="Volleinspeisung",7,6),TRUE)</f>
        <v>7.1679999999999994E-2</v>
      </c>
      <c r="Z58" s="147">
        <f>VLOOKUP(Z13,Einspeisevergütung!$A$19:$G$119,IF(Z9="Volleinspeisung",7,6),TRUE)</f>
        <v>7.1014054054054046E-2</v>
      </c>
      <c r="AA58" s="147">
        <f>VLOOKUP(AA13,Einspeisevergütung!$A$19:$G$119,IF(AA9="Volleinspeisung",7,6),TRUE)</f>
        <v>6.9119999999999987E-2</v>
      </c>
      <c r="AB58" s="147"/>
      <c r="AC58" s="147">
        <f>VLOOKUP(AC13,Einspeisevergütung!$A$19:$G$119,IF(AC9="Volleinspeisung",7,6),TRUE)</f>
        <v>7.5199999999999989E-2</v>
      </c>
      <c r="AD58" s="147">
        <f>VLOOKUP(AD13,Einspeisevergütung!$A$19:$G$119,IF(AD9="Volleinspeisung",7,6),TRUE)</f>
        <v>7.2959999999999997E-2</v>
      </c>
      <c r="AE58" s="147">
        <f>VLOOKUP(AE13,Einspeisevergütung!$A$19:$G$119,IF(AE9="Volleinspeisung",7,6),TRUE)</f>
        <v>7.1679999999999994E-2</v>
      </c>
      <c r="AF58" s="147">
        <f>VLOOKUP(AF13,Einspeisevergütung!$A$19:$G$119,IF(AF9="Volleinspeisung",7,6),TRUE)</f>
        <v>7.1014054054054046E-2</v>
      </c>
      <c r="AG58" s="147">
        <f>VLOOKUP(AG13,Einspeisevergütung!$A$19:$G$119,IF(AG9="Volleinspeisung",7,6),TRUE)</f>
        <v>6.9119999999999987E-2</v>
      </c>
      <c r="AH58" s="147"/>
      <c r="AI58" s="2" t="s">
        <v>65</v>
      </c>
      <c r="AJ58" s="2"/>
      <c r="AK58" t="s">
        <v>99</v>
      </c>
    </row>
    <row r="59" spans="1:37" ht="15" thickBot="1" x14ac:dyDescent="0.45">
      <c r="B59" s="32" t="s">
        <v>132</v>
      </c>
      <c r="E59" s="123">
        <v>0.01</v>
      </c>
      <c r="F59" s="123">
        <v>0.01</v>
      </c>
      <c r="G59" s="123">
        <v>0.01</v>
      </c>
      <c r="H59" s="123">
        <v>0.01</v>
      </c>
      <c r="I59" s="123">
        <v>0.01</v>
      </c>
      <c r="J59" s="115"/>
      <c r="K59" s="123">
        <v>0.01</v>
      </c>
      <c r="L59" s="123">
        <v>0.01</v>
      </c>
      <c r="M59" s="123">
        <v>0.01</v>
      </c>
      <c r="N59" s="123">
        <v>0.01</v>
      </c>
      <c r="O59" s="123">
        <v>0.01</v>
      </c>
      <c r="P59" s="115"/>
      <c r="Q59" s="123">
        <v>0.01</v>
      </c>
      <c r="R59" s="123">
        <v>0.01</v>
      </c>
      <c r="S59" s="123">
        <v>0.01</v>
      </c>
      <c r="T59" s="123">
        <v>0.01</v>
      </c>
      <c r="U59" s="123">
        <v>0.01</v>
      </c>
      <c r="V59" s="115"/>
      <c r="W59" s="123">
        <v>0.01</v>
      </c>
      <c r="X59" s="123">
        <v>0.01</v>
      </c>
      <c r="Y59" s="123">
        <v>0.01</v>
      </c>
      <c r="Z59" s="123">
        <v>0.01</v>
      </c>
      <c r="AA59" s="123">
        <v>0.01</v>
      </c>
      <c r="AB59" s="115"/>
      <c r="AC59" s="123">
        <v>0.01</v>
      </c>
      <c r="AD59" s="123">
        <v>0.01</v>
      </c>
      <c r="AE59" s="123">
        <v>0.01</v>
      </c>
      <c r="AF59" s="123">
        <v>0.01</v>
      </c>
      <c r="AG59" s="123">
        <v>0.01</v>
      </c>
      <c r="AH59" s="115"/>
      <c r="AI59" s="2"/>
      <c r="AJ59" s="2"/>
      <c r="AK59" t="s">
        <v>133</v>
      </c>
    </row>
    <row r="60" spans="1:37" x14ac:dyDescent="0.4">
      <c r="B60" s="69" t="s">
        <v>83</v>
      </c>
      <c r="C60" s="69"/>
      <c r="D60" s="69"/>
      <c r="E60" s="70">
        <f>E57*E58*(1-E59)</f>
        <v>333.1791296063999</v>
      </c>
      <c r="F60" s="70">
        <f t="shared" ref="F60:I60" si="174">F57*F58*(1-F59)</f>
        <v>708.33660891839997</v>
      </c>
      <c r="G60" s="70">
        <f t="shared" si="174"/>
        <v>1113.4554413875198</v>
      </c>
      <c r="H60" s="70">
        <f t="shared" si="174"/>
        <v>1535.2573525087134</v>
      </c>
      <c r="I60" s="70">
        <f t="shared" si="174"/>
        <v>1925.9991397785595</v>
      </c>
      <c r="J60" s="9"/>
      <c r="K60" s="70">
        <f>K57*K58*(1-K59)</f>
        <v>227.80621211039994</v>
      </c>
      <c r="L60" s="70">
        <f t="shared" ref="L60" si="175">L57*L58*(1-L59)</f>
        <v>576.89270210879988</v>
      </c>
      <c r="M60" s="70">
        <f t="shared" ref="M60" si="176">M57*M58*(1-M59)</f>
        <v>969.96891543551988</v>
      </c>
      <c r="N60" s="70">
        <f t="shared" ref="N60" si="177">N57*N58*(1-N59)</f>
        <v>1385.996221014811</v>
      </c>
      <c r="O60" s="70">
        <f t="shared" ref="O60" si="178">O57*O58*(1-O59)</f>
        <v>1773.8009318937595</v>
      </c>
      <c r="P60" s="9"/>
      <c r="Q60" s="70">
        <f>Q57*Q58*(1-Q59)</f>
        <v>166.58956480320006</v>
      </c>
      <c r="R60" s="70">
        <f t="shared" ref="R60" si="179">R57*R58*(1-R59)</f>
        <v>484.88196734207986</v>
      </c>
      <c r="S60" s="70">
        <f t="shared" ref="S60" si="180">S57*S58*(1-S59)</f>
        <v>860.91915571199979</v>
      </c>
      <c r="T60" s="70">
        <f t="shared" ref="T60" si="181">T57*T58*(1-T59)</f>
        <v>1265.1657812340322</v>
      </c>
      <c r="U60" s="70">
        <f t="shared" ref="U60" si="182">U57*U58*(1-U59)</f>
        <v>1649.2751254425596</v>
      </c>
      <c r="V60" s="9"/>
      <c r="W60" s="70">
        <f>W57*W58*(1-W59)</f>
        <v>107.38002068639997</v>
      </c>
      <c r="X60" s="70">
        <f t="shared" ref="X60" si="183">X57*X58*(1-X59)</f>
        <v>388.48976901504005</v>
      </c>
      <c r="Y60" s="70">
        <f t="shared" ref="Y60" si="184">Y57*Y58*(1-Y59)</f>
        <v>742.30362759167986</v>
      </c>
      <c r="Z60" s="70">
        <f t="shared" ref="Z60" si="185">Z57*Z58*(1-Z59)</f>
        <v>1132.4892199061187</v>
      </c>
      <c r="AA60" s="70">
        <f t="shared" ref="AA60" si="186">AA57*AA58*(1-AA59)</f>
        <v>1508.1458781311997</v>
      </c>
      <c r="AB60" s="9"/>
      <c r="AC60" s="70">
        <f>AC57*AC58*(1-AC59)</f>
        <v>101.35871111519998</v>
      </c>
      <c r="AD60" s="70">
        <f t="shared" ref="AD60" si="187">AD57*AD58*(1-AD59)</f>
        <v>368.04293906688002</v>
      </c>
      <c r="AE60" s="70">
        <f t="shared" ref="AE60" si="188">AE57*AE58*(1-AE59)</f>
        <v>717.43262975999994</v>
      </c>
      <c r="AF60" s="70">
        <f t="shared" ref="AF60" si="189">AF57*AF58*(1-AF59)</f>
        <v>1111.1662011212754</v>
      </c>
      <c r="AG60" s="70">
        <f t="shared" ref="AG60" si="190">AG57*AG58*(1-AG59)</f>
        <v>1491.5424372710397</v>
      </c>
      <c r="AH60" s="9"/>
      <c r="AI60" s="146" t="s">
        <v>6</v>
      </c>
      <c r="AJ60" s="2"/>
      <c r="AK60" t="s">
        <v>134</v>
      </c>
    </row>
    <row r="61" spans="1:37" ht="15" thickBot="1" x14ac:dyDescent="0.45"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2"/>
      <c r="AJ61" s="2"/>
    </row>
    <row r="62" spans="1:37" x14ac:dyDescent="0.4">
      <c r="B62" s="32" t="s">
        <v>163</v>
      </c>
      <c r="C62" s="149">
        <v>2.5000000000000001E-2</v>
      </c>
      <c r="D62" s="2" t="s">
        <v>2</v>
      </c>
      <c r="E62" s="198" t="str" cm="1">
        <f t="array" ref="E62">_xlfn.SWITCH(E9,"Mieterstrom",$C62*E42,"GGV",0,"entfällt")</f>
        <v>entfällt</v>
      </c>
      <c r="F62" s="198" t="str" cm="1">
        <f t="array" ref="F62">_xlfn.SWITCH(F9,"Mieterstrom",$C62*F42,"GGV",0,"entfällt")</f>
        <v>entfällt</v>
      </c>
      <c r="G62" s="198" t="str" cm="1">
        <f t="array" ref="G62">_xlfn.SWITCH(G9,"Mieterstrom",$C62*G42,"GGV",0,"entfällt")</f>
        <v>entfällt</v>
      </c>
      <c r="H62" s="198" t="str" cm="1">
        <f t="array" ref="H62">_xlfn.SWITCH(H9,"Mieterstrom",$C62*H42,"GGV",0,"entfällt")</f>
        <v>entfällt</v>
      </c>
      <c r="I62" s="198" t="str" cm="1">
        <f t="array" ref="I62">_xlfn.SWITCH(I9,"Mieterstrom",$C62*I42,"GGV",0,"entfällt")</f>
        <v>entfällt</v>
      </c>
      <c r="J62" s="198"/>
      <c r="K62" s="198" t="str" cm="1">
        <f t="array" ref="K62">_xlfn.SWITCH(K9,"Mieterstrom",$C62*K42,"GGV",0,"entfällt")</f>
        <v>entfällt</v>
      </c>
      <c r="L62" s="198" t="str" cm="1">
        <f t="array" ref="L62">_xlfn.SWITCH(L9,"Mieterstrom",$C62*L42,"GGV",0,"entfällt")</f>
        <v>entfällt</v>
      </c>
      <c r="M62" s="198" t="str" cm="1">
        <f t="array" ref="M62">_xlfn.SWITCH(M9,"Mieterstrom",$C62*M42,"GGV",0,"entfällt")</f>
        <v>entfällt</v>
      </c>
      <c r="N62" s="198" t="str" cm="1">
        <f t="array" ref="N62">_xlfn.SWITCH(N9,"Mieterstrom",$C62*N42,"GGV",0,"entfällt")</f>
        <v>entfällt</v>
      </c>
      <c r="O62" s="198" t="str" cm="1">
        <f t="array" ref="O62">_xlfn.SWITCH(O9,"Mieterstrom",$C62*O42,"GGV",0,"entfällt")</f>
        <v>entfällt</v>
      </c>
      <c r="P62" s="198"/>
      <c r="Q62" s="198" t="str" cm="1">
        <f t="array" ref="Q62">_xlfn.SWITCH(Q9,"Mieterstrom",$C62*Q42,"GGV",0,"entfällt")</f>
        <v>entfällt</v>
      </c>
      <c r="R62" s="198" t="str" cm="1">
        <f t="array" ref="R62">_xlfn.SWITCH(R9,"Mieterstrom",$C62*R42,"GGV",0,"entfällt")</f>
        <v>entfällt</v>
      </c>
      <c r="S62" s="198" t="str" cm="1">
        <f t="array" ref="S62">_xlfn.SWITCH(S9,"Mieterstrom",$C62*S42,"GGV",0,"entfällt")</f>
        <v>entfällt</v>
      </c>
      <c r="T62" s="198" t="str" cm="1">
        <f t="array" ref="T62">_xlfn.SWITCH(T9,"Mieterstrom",$C62*T42,"GGV",0,"entfällt")</f>
        <v>entfällt</v>
      </c>
      <c r="U62" s="198" t="str" cm="1">
        <f t="array" ref="U62">_xlfn.SWITCH(U9,"Mieterstrom",$C62*U42,"GGV",0,"entfällt")</f>
        <v>entfällt</v>
      </c>
      <c r="V62" s="198"/>
      <c r="W62" s="198" t="str" cm="1">
        <f t="array" ref="W62">_xlfn.SWITCH(W9,"Mieterstrom",$C62*W42,"GGV",0,"entfällt")</f>
        <v>entfällt</v>
      </c>
      <c r="X62" s="198" t="str" cm="1">
        <f t="array" ref="X62">_xlfn.SWITCH(X9,"Mieterstrom",$C62*X42,"GGV",0,"entfällt")</f>
        <v>entfällt</v>
      </c>
      <c r="Y62" s="198" t="str" cm="1">
        <f t="array" ref="Y62">_xlfn.SWITCH(Y9,"Mieterstrom",$C62*Y42,"GGV",0,"entfällt")</f>
        <v>entfällt</v>
      </c>
      <c r="Z62" s="198" t="str" cm="1">
        <f t="array" ref="Z62">_xlfn.SWITCH(Z9,"Mieterstrom",$C62*Z42,"GGV",0,"entfällt")</f>
        <v>entfällt</v>
      </c>
      <c r="AA62" s="198" t="str" cm="1">
        <f t="array" ref="AA62">_xlfn.SWITCH(AA9,"Mieterstrom",$C62*AA42,"GGV",0,"entfällt")</f>
        <v>entfällt</v>
      </c>
      <c r="AB62" s="198"/>
      <c r="AC62" s="198" t="str" cm="1">
        <f t="array" ref="AC62">_xlfn.SWITCH(AC9,"Mieterstrom",$C62*AC42,"GGV",0,"entfällt")</f>
        <v>entfällt</v>
      </c>
      <c r="AD62" s="198" t="str" cm="1">
        <f t="array" ref="AD62">_xlfn.SWITCH(AD9,"Mieterstrom",$C62*AD42,"GGV",0,"entfällt")</f>
        <v>entfällt</v>
      </c>
      <c r="AE62" s="198" t="str" cm="1">
        <f t="array" ref="AE62">_xlfn.SWITCH(AE9,"Mieterstrom",$C62*AE42,"GGV",0,"entfällt")</f>
        <v>entfällt</v>
      </c>
      <c r="AF62" s="198" t="str" cm="1">
        <f t="array" ref="AF62">_xlfn.SWITCH(AF9,"Mieterstrom",$C62*AF42,"GGV",0,"entfällt")</f>
        <v>entfällt</v>
      </c>
      <c r="AG62" s="198" t="str" cm="1">
        <f t="array" ref="AG62">_xlfn.SWITCH(AG9,"Mieterstrom",$C62*AG42,"GGV",0,"entfällt")</f>
        <v>entfällt</v>
      </c>
      <c r="AH62" s="198"/>
      <c r="AI62" s="2" t="s">
        <v>144</v>
      </c>
      <c r="AK62" t="s">
        <v>176</v>
      </c>
    </row>
    <row r="63" spans="1:37" x14ac:dyDescent="0.4">
      <c r="B63" s="69" t="s">
        <v>141</v>
      </c>
      <c r="C63" s="69"/>
      <c r="D63" s="69"/>
      <c r="E63" s="199" cm="1">
        <f t="array" ref="E63">_xlfn.SWITCH(E9,"Mieterstrom",E62,"GGV",E62,0)</f>
        <v>0</v>
      </c>
      <c r="F63" s="199" cm="1">
        <f t="array" ref="F63">_xlfn.SWITCH(F9,"Mieterstrom",F62,"GGV",F62,0)</f>
        <v>0</v>
      </c>
      <c r="G63" s="199" cm="1">
        <f t="array" ref="G63">_xlfn.SWITCH(G9,"Mieterstrom",G62,"GGV",G62,0)</f>
        <v>0</v>
      </c>
      <c r="H63" s="199" cm="1">
        <f t="array" ref="H63">_xlfn.SWITCH(H9,"Mieterstrom",H62,"GGV",H62,0)</f>
        <v>0</v>
      </c>
      <c r="I63" s="199" cm="1">
        <f t="array" ref="I63">_xlfn.SWITCH(I9,"Mieterstrom",I62,"GGV",I62,0)</f>
        <v>0</v>
      </c>
      <c r="J63" s="244"/>
      <c r="K63" s="199" cm="1">
        <f t="array" ref="K63">_xlfn.SWITCH(K9,"Mieterstrom",K62,"GGV",K62,0)</f>
        <v>0</v>
      </c>
      <c r="L63" s="199" cm="1">
        <f t="array" ref="L63">_xlfn.SWITCH(L9,"Mieterstrom",L62,"GGV",L62,0)</f>
        <v>0</v>
      </c>
      <c r="M63" s="199" cm="1">
        <f t="array" ref="M63">_xlfn.SWITCH(M9,"Mieterstrom",M62,"GGV",M62,0)</f>
        <v>0</v>
      </c>
      <c r="N63" s="199" cm="1">
        <f t="array" ref="N63">_xlfn.SWITCH(N9,"Mieterstrom",N62,"GGV",N62,0)</f>
        <v>0</v>
      </c>
      <c r="O63" s="199" cm="1">
        <f t="array" ref="O63">_xlfn.SWITCH(O9,"Mieterstrom",O62,"GGV",O62,0)</f>
        <v>0</v>
      </c>
      <c r="P63" s="244"/>
      <c r="Q63" s="199" cm="1">
        <f t="array" ref="Q63">_xlfn.SWITCH(Q9,"Mieterstrom",Q62,"GGV",Q62,0)</f>
        <v>0</v>
      </c>
      <c r="R63" s="199" cm="1">
        <f t="array" ref="R63">_xlfn.SWITCH(R9,"Mieterstrom",R62,"GGV",R62,0)</f>
        <v>0</v>
      </c>
      <c r="S63" s="199" cm="1">
        <f t="array" ref="S63">_xlfn.SWITCH(S9,"Mieterstrom",S62,"GGV",S62,0)</f>
        <v>0</v>
      </c>
      <c r="T63" s="199" cm="1">
        <f t="array" ref="T63">_xlfn.SWITCH(T9,"Mieterstrom",T62,"GGV",T62,0)</f>
        <v>0</v>
      </c>
      <c r="U63" s="199" cm="1">
        <f t="array" ref="U63">_xlfn.SWITCH(U9,"Mieterstrom",U62,"GGV",U62,0)</f>
        <v>0</v>
      </c>
      <c r="V63" s="244"/>
      <c r="W63" s="199" cm="1">
        <f t="array" ref="W63">_xlfn.SWITCH(W9,"Mieterstrom",W62,"GGV",W62,0)</f>
        <v>0</v>
      </c>
      <c r="X63" s="199" cm="1">
        <f t="array" ref="X63">_xlfn.SWITCH(X9,"Mieterstrom",X62,"GGV",X62,0)</f>
        <v>0</v>
      </c>
      <c r="Y63" s="199" cm="1">
        <f t="array" ref="Y63">_xlfn.SWITCH(Y9,"Mieterstrom",Y62,"GGV",Y62,0)</f>
        <v>0</v>
      </c>
      <c r="Z63" s="199" cm="1">
        <f t="array" ref="Z63">_xlfn.SWITCH(Z9,"Mieterstrom",Z62,"GGV",Z62,0)</f>
        <v>0</v>
      </c>
      <c r="AA63" s="199" cm="1">
        <f t="array" ref="AA63">_xlfn.SWITCH(AA9,"Mieterstrom",AA62,"GGV",AA62,0)</f>
        <v>0</v>
      </c>
      <c r="AB63" s="244"/>
      <c r="AC63" s="199" cm="1">
        <f t="array" ref="AC63">_xlfn.SWITCH(AC9,"Mieterstrom",AC62,"GGV",AC62,0)</f>
        <v>0</v>
      </c>
      <c r="AD63" s="199" cm="1">
        <f t="array" ref="AD63">_xlfn.SWITCH(AD9,"Mieterstrom",AD62,"GGV",AD62,0)</f>
        <v>0</v>
      </c>
      <c r="AE63" s="199" cm="1">
        <f t="array" ref="AE63">_xlfn.SWITCH(AE9,"Mieterstrom",AE62,"GGV",AE62,0)</f>
        <v>0</v>
      </c>
      <c r="AF63" s="199" cm="1">
        <f t="array" ref="AF63">_xlfn.SWITCH(AF9,"Mieterstrom",AF62,"GGV",AF62,0)</f>
        <v>0</v>
      </c>
      <c r="AG63" s="199" cm="1">
        <f t="array" ref="AG63">_xlfn.SWITCH(AG9,"Mieterstrom",AG62,"GGV",AG62,0)</f>
        <v>0</v>
      </c>
      <c r="AH63" s="244"/>
      <c r="AI63" s="146" t="s">
        <v>6</v>
      </c>
      <c r="AK63" t="s">
        <v>143</v>
      </c>
    </row>
    <row r="64" spans="1:37" ht="15" thickBot="1" x14ac:dyDescent="0.45"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2"/>
      <c r="AJ64" s="2"/>
    </row>
    <row r="65" spans="2:37" ht="15" thickBot="1" x14ac:dyDescent="0.45">
      <c r="B65" s="32" t="s">
        <v>135</v>
      </c>
      <c r="C65" s="148">
        <v>120</v>
      </c>
      <c r="E65" s="9">
        <f>$C65</f>
        <v>120</v>
      </c>
      <c r="F65" s="9">
        <f t="shared" ref="F65:I65" si="191">$C65</f>
        <v>120</v>
      </c>
      <c r="G65" s="9">
        <f t="shared" si="191"/>
        <v>120</v>
      </c>
      <c r="H65" s="9">
        <f t="shared" si="191"/>
        <v>120</v>
      </c>
      <c r="I65" s="9">
        <f t="shared" si="191"/>
        <v>120</v>
      </c>
      <c r="J65" s="9"/>
      <c r="K65" s="9">
        <f>$C65</f>
        <v>120</v>
      </c>
      <c r="L65" s="9">
        <f t="shared" ref="L65:O65" si="192">$C65</f>
        <v>120</v>
      </c>
      <c r="M65" s="9">
        <f t="shared" si="192"/>
        <v>120</v>
      </c>
      <c r="N65" s="9">
        <f t="shared" si="192"/>
        <v>120</v>
      </c>
      <c r="O65" s="9">
        <f t="shared" si="192"/>
        <v>120</v>
      </c>
      <c r="P65" s="9"/>
      <c r="Q65" s="9">
        <f>$C65</f>
        <v>120</v>
      </c>
      <c r="R65" s="9">
        <f t="shared" ref="R65:U65" si="193">$C65</f>
        <v>120</v>
      </c>
      <c r="S65" s="9">
        <f t="shared" si="193"/>
        <v>120</v>
      </c>
      <c r="T65" s="9">
        <f t="shared" si="193"/>
        <v>120</v>
      </c>
      <c r="U65" s="9">
        <f t="shared" si="193"/>
        <v>120</v>
      </c>
      <c r="V65" s="9"/>
      <c r="W65" s="9">
        <f>$C65</f>
        <v>120</v>
      </c>
      <c r="X65" s="9">
        <f t="shared" ref="X65:AA65" si="194">$C65</f>
        <v>120</v>
      </c>
      <c r="Y65" s="9">
        <f t="shared" si="194"/>
        <v>120</v>
      </c>
      <c r="Z65" s="9">
        <f t="shared" si="194"/>
        <v>120</v>
      </c>
      <c r="AA65" s="9">
        <f t="shared" si="194"/>
        <v>120</v>
      </c>
      <c r="AB65" s="9"/>
      <c r="AC65" s="9">
        <f>$C65</f>
        <v>120</v>
      </c>
      <c r="AD65" s="9">
        <f t="shared" ref="AD65:AG65" si="195">$C65</f>
        <v>120</v>
      </c>
      <c r="AE65" s="9">
        <f t="shared" si="195"/>
        <v>120</v>
      </c>
      <c r="AF65" s="9">
        <f t="shared" si="195"/>
        <v>120</v>
      </c>
      <c r="AG65" s="9">
        <f t="shared" si="195"/>
        <v>120</v>
      </c>
      <c r="AH65" s="9"/>
      <c r="AI65" s="2" t="s">
        <v>6</v>
      </c>
      <c r="AJ65" s="2"/>
    </row>
    <row r="66" spans="2:37" ht="15" thickBot="1" x14ac:dyDescent="0.45">
      <c r="B66" t="s">
        <v>123</v>
      </c>
      <c r="C66" s="150">
        <v>5.0000000000000001E-3</v>
      </c>
      <c r="D66" s="2" t="s">
        <v>84</v>
      </c>
      <c r="E66" s="137">
        <f t="shared" ref="E66:I66" si="196">E24*$C66</f>
        <v>122.5</v>
      </c>
      <c r="F66" s="137">
        <f t="shared" si="196"/>
        <v>163.75</v>
      </c>
      <c r="G66" s="137">
        <f t="shared" si="196"/>
        <v>205</v>
      </c>
      <c r="H66" s="137">
        <f t="shared" si="196"/>
        <v>246.25</v>
      </c>
      <c r="I66" s="137">
        <f t="shared" si="196"/>
        <v>287.5</v>
      </c>
      <c r="J66" s="137"/>
      <c r="K66" s="137">
        <f t="shared" ref="K66:O66" si="197">K24*$C66</f>
        <v>141.25</v>
      </c>
      <c r="L66" s="137">
        <f t="shared" si="197"/>
        <v>182.5</v>
      </c>
      <c r="M66" s="137">
        <f t="shared" si="197"/>
        <v>223.75</v>
      </c>
      <c r="N66" s="137">
        <f t="shared" si="197"/>
        <v>265</v>
      </c>
      <c r="O66" s="137">
        <f t="shared" si="197"/>
        <v>306.25</v>
      </c>
      <c r="P66" s="137"/>
      <c r="Q66" s="137">
        <f t="shared" ref="Q66:U66" si="198">Q24*$C66</f>
        <v>160</v>
      </c>
      <c r="R66" s="137">
        <f t="shared" si="198"/>
        <v>201.25</v>
      </c>
      <c r="S66" s="137">
        <f t="shared" si="198"/>
        <v>242.5</v>
      </c>
      <c r="T66" s="137">
        <f t="shared" si="198"/>
        <v>283.75</v>
      </c>
      <c r="U66" s="137">
        <f t="shared" si="198"/>
        <v>325</v>
      </c>
      <c r="V66" s="137"/>
      <c r="W66" s="137">
        <f t="shared" ref="W66:AA66" si="199">W24*$C66</f>
        <v>197.5</v>
      </c>
      <c r="X66" s="137">
        <f t="shared" si="199"/>
        <v>238.75</v>
      </c>
      <c r="Y66" s="137">
        <f t="shared" si="199"/>
        <v>280</v>
      </c>
      <c r="Z66" s="137">
        <f t="shared" si="199"/>
        <v>321.25</v>
      </c>
      <c r="AA66" s="137">
        <f t="shared" si="199"/>
        <v>362.5</v>
      </c>
      <c r="AB66" s="137"/>
      <c r="AC66" s="137">
        <f t="shared" ref="AC66:AG66" si="200">AC24*$C66</f>
        <v>272.5</v>
      </c>
      <c r="AD66" s="137">
        <f t="shared" si="200"/>
        <v>313.75</v>
      </c>
      <c r="AE66" s="137">
        <f t="shared" si="200"/>
        <v>355</v>
      </c>
      <c r="AF66" s="137">
        <f t="shared" si="200"/>
        <v>396.25</v>
      </c>
      <c r="AG66" s="137">
        <f t="shared" si="200"/>
        <v>437.5</v>
      </c>
      <c r="AH66" s="137"/>
      <c r="AI66" s="2" t="s">
        <v>6</v>
      </c>
      <c r="AJ66" s="2"/>
    </row>
    <row r="67" spans="2:37" ht="15" thickBot="1" x14ac:dyDescent="0.45">
      <c r="B67" t="s">
        <v>177</v>
      </c>
      <c r="C67" s="148">
        <v>25</v>
      </c>
      <c r="D67" s="2" t="s">
        <v>96</v>
      </c>
      <c r="E67" s="9">
        <f t="shared" ref="E67:I67" si="201">IF(E$20=0,0,$C67*E7)</f>
        <v>275</v>
      </c>
      <c r="F67" s="9">
        <f t="shared" si="201"/>
        <v>275</v>
      </c>
      <c r="G67" s="9">
        <f t="shared" si="201"/>
        <v>275</v>
      </c>
      <c r="H67" s="9">
        <f t="shared" si="201"/>
        <v>275</v>
      </c>
      <c r="I67" s="9">
        <f t="shared" si="201"/>
        <v>275</v>
      </c>
      <c r="J67" s="9"/>
      <c r="K67" s="9">
        <f t="shared" ref="K67:O67" si="202">IF(K$20=0,0,$C67*K7)</f>
        <v>275</v>
      </c>
      <c r="L67" s="9">
        <f t="shared" si="202"/>
        <v>275</v>
      </c>
      <c r="M67" s="9">
        <f t="shared" si="202"/>
        <v>275</v>
      </c>
      <c r="N67" s="9">
        <f t="shared" si="202"/>
        <v>275</v>
      </c>
      <c r="O67" s="9">
        <f t="shared" si="202"/>
        <v>275</v>
      </c>
      <c r="P67" s="9"/>
      <c r="Q67" s="9">
        <f t="shared" ref="Q67:U67" si="203">IF(Q$20=0,0,$C67*Q7)</f>
        <v>275</v>
      </c>
      <c r="R67" s="9">
        <f t="shared" si="203"/>
        <v>275</v>
      </c>
      <c r="S67" s="9">
        <f t="shared" si="203"/>
        <v>275</v>
      </c>
      <c r="T67" s="9">
        <f t="shared" si="203"/>
        <v>275</v>
      </c>
      <c r="U67" s="9">
        <f t="shared" si="203"/>
        <v>275</v>
      </c>
      <c r="V67" s="9"/>
      <c r="W67" s="9">
        <f t="shared" ref="W67:AA67" si="204">IF(W$20=0,0,$C67*W7)</f>
        <v>275</v>
      </c>
      <c r="X67" s="9">
        <f t="shared" si="204"/>
        <v>275</v>
      </c>
      <c r="Y67" s="9">
        <f t="shared" si="204"/>
        <v>275</v>
      </c>
      <c r="Z67" s="9">
        <f t="shared" si="204"/>
        <v>275</v>
      </c>
      <c r="AA67" s="9">
        <f t="shared" si="204"/>
        <v>275</v>
      </c>
      <c r="AB67" s="9"/>
      <c r="AC67" s="9">
        <f t="shared" ref="AC67:AG67" si="205">IF(AC$20=0,0,$C67*AC7)</f>
        <v>275</v>
      </c>
      <c r="AD67" s="9">
        <f t="shared" si="205"/>
        <v>275</v>
      </c>
      <c r="AE67" s="9">
        <f t="shared" si="205"/>
        <v>275</v>
      </c>
      <c r="AF67" s="9">
        <f t="shared" si="205"/>
        <v>275</v>
      </c>
      <c r="AG67" s="9">
        <f t="shared" si="205"/>
        <v>275</v>
      </c>
      <c r="AH67" s="9"/>
      <c r="AI67" s="2" t="s">
        <v>6</v>
      </c>
      <c r="AJ67" s="2"/>
      <c r="AK67" t="s">
        <v>98</v>
      </c>
    </row>
    <row r="68" spans="2:37" ht="15" thickBot="1" x14ac:dyDescent="0.45">
      <c r="B68" t="s">
        <v>215</v>
      </c>
      <c r="C68" s="151">
        <v>67</v>
      </c>
      <c r="D68" s="2" t="s">
        <v>137</v>
      </c>
      <c r="E68" s="9">
        <f>IF(E$20=0,0,$C68)</f>
        <v>67</v>
      </c>
      <c r="F68" s="9">
        <f t="shared" ref="F68:I68" si="206">IF(F$20=0,0,$C68)</f>
        <v>67</v>
      </c>
      <c r="G68" s="9">
        <f t="shared" si="206"/>
        <v>67</v>
      </c>
      <c r="H68" s="9">
        <f t="shared" si="206"/>
        <v>67</v>
      </c>
      <c r="I68" s="9">
        <f t="shared" si="206"/>
        <v>67</v>
      </c>
      <c r="J68" s="9"/>
      <c r="K68" s="9">
        <f>IF(K$20=0,0,$C68)</f>
        <v>67</v>
      </c>
      <c r="L68" s="9">
        <f t="shared" ref="L68:O68" si="207">IF(L$20=0,0,$C68)</f>
        <v>67</v>
      </c>
      <c r="M68" s="9">
        <f t="shared" si="207"/>
        <v>67</v>
      </c>
      <c r="N68" s="9">
        <f t="shared" si="207"/>
        <v>67</v>
      </c>
      <c r="O68" s="9">
        <f t="shared" si="207"/>
        <v>67</v>
      </c>
      <c r="P68" s="9"/>
      <c r="Q68" s="9">
        <f>IF(Q$20=0,0,$C68)</f>
        <v>67</v>
      </c>
      <c r="R68" s="9">
        <f t="shared" ref="R68:U68" si="208">IF(R$20=0,0,$C68)</f>
        <v>67</v>
      </c>
      <c r="S68" s="9">
        <f t="shared" si="208"/>
        <v>67</v>
      </c>
      <c r="T68" s="9">
        <f t="shared" si="208"/>
        <v>67</v>
      </c>
      <c r="U68" s="9">
        <f t="shared" si="208"/>
        <v>67</v>
      </c>
      <c r="V68" s="9"/>
      <c r="W68" s="9">
        <f>IF(W$20=0,0,$C68)</f>
        <v>67</v>
      </c>
      <c r="X68" s="9">
        <f t="shared" ref="X68:AA68" si="209">IF(X$20=0,0,$C68)</f>
        <v>67</v>
      </c>
      <c r="Y68" s="9">
        <f t="shared" si="209"/>
        <v>67</v>
      </c>
      <c r="Z68" s="9">
        <f t="shared" si="209"/>
        <v>67</v>
      </c>
      <c r="AA68" s="9">
        <f t="shared" si="209"/>
        <v>67</v>
      </c>
      <c r="AB68" s="9"/>
      <c r="AC68" s="9">
        <f>IF(AC$20=0,0,$C68)</f>
        <v>67</v>
      </c>
      <c r="AD68" s="9">
        <f t="shared" ref="AD68:AG68" si="210">IF(AD$20=0,0,$C68)</f>
        <v>67</v>
      </c>
      <c r="AE68" s="9">
        <f t="shared" si="210"/>
        <v>67</v>
      </c>
      <c r="AF68" s="9">
        <f t="shared" si="210"/>
        <v>67</v>
      </c>
      <c r="AG68" s="9">
        <f t="shared" si="210"/>
        <v>67</v>
      </c>
      <c r="AH68" s="9"/>
      <c r="AI68" s="2" t="s">
        <v>6</v>
      </c>
      <c r="AJ68" s="2"/>
      <c r="AK68" s="28" t="s">
        <v>97</v>
      </c>
    </row>
    <row r="69" spans="2:37" x14ac:dyDescent="0.4">
      <c r="B69" t="s">
        <v>219</v>
      </c>
      <c r="C69" s="2"/>
      <c r="D69" s="2"/>
      <c r="E69" s="148"/>
      <c r="F69" s="148"/>
      <c r="G69" s="148"/>
      <c r="H69" s="148"/>
      <c r="I69" s="148"/>
      <c r="J69" s="245"/>
      <c r="K69" s="148"/>
      <c r="L69" s="148"/>
      <c r="M69" s="148"/>
      <c r="N69" s="148"/>
      <c r="O69" s="148"/>
      <c r="P69" s="245"/>
      <c r="Q69" s="148"/>
      <c r="R69" s="148"/>
      <c r="S69" s="148"/>
      <c r="T69" s="148"/>
      <c r="U69" s="148"/>
      <c r="V69" s="245"/>
      <c r="W69" s="148"/>
      <c r="X69" s="148"/>
      <c r="Y69" s="148"/>
      <c r="Z69" s="148"/>
      <c r="AA69" s="148"/>
      <c r="AB69" s="245"/>
      <c r="AC69" s="148"/>
      <c r="AD69" s="148"/>
      <c r="AE69" s="148"/>
      <c r="AF69" s="148"/>
      <c r="AG69" s="148"/>
      <c r="AH69" s="245"/>
      <c r="AI69" s="2" t="s">
        <v>6</v>
      </c>
      <c r="AJ69" s="2"/>
      <c r="AK69" t="s">
        <v>220</v>
      </c>
    </row>
    <row r="70" spans="2:37" x14ac:dyDescent="0.4">
      <c r="B70" s="69" t="s">
        <v>179</v>
      </c>
      <c r="C70" s="69"/>
      <c r="D70" s="69"/>
      <c r="E70" s="152">
        <f t="shared" ref="E70:I70" si="211">SUM(E65:E69)</f>
        <v>584.5</v>
      </c>
      <c r="F70" s="152">
        <f t="shared" si="211"/>
        <v>625.75</v>
      </c>
      <c r="G70" s="152">
        <f t="shared" si="211"/>
        <v>667</v>
      </c>
      <c r="H70" s="152">
        <f t="shared" si="211"/>
        <v>708.25</v>
      </c>
      <c r="I70" s="152">
        <f t="shared" si="211"/>
        <v>749.5</v>
      </c>
      <c r="J70" s="246"/>
      <c r="K70" s="152">
        <f t="shared" ref="K70:O70" si="212">SUM(K65:K69)</f>
        <v>603.25</v>
      </c>
      <c r="L70" s="152">
        <f t="shared" si="212"/>
        <v>644.5</v>
      </c>
      <c r="M70" s="152">
        <f t="shared" si="212"/>
        <v>685.75</v>
      </c>
      <c r="N70" s="152">
        <f t="shared" si="212"/>
        <v>727</v>
      </c>
      <c r="O70" s="152">
        <f t="shared" si="212"/>
        <v>768.25</v>
      </c>
      <c r="P70" s="246"/>
      <c r="Q70" s="152">
        <f t="shared" ref="Q70:U70" si="213">SUM(Q65:Q69)</f>
        <v>622</v>
      </c>
      <c r="R70" s="152">
        <f t="shared" si="213"/>
        <v>663.25</v>
      </c>
      <c r="S70" s="152">
        <f t="shared" si="213"/>
        <v>704.5</v>
      </c>
      <c r="T70" s="152">
        <f t="shared" si="213"/>
        <v>745.75</v>
      </c>
      <c r="U70" s="152">
        <f t="shared" si="213"/>
        <v>787</v>
      </c>
      <c r="V70" s="246"/>
      <c r="W70" s="152">
        <f t="shared" ref="W70:AA70" si="214">SUM(W65:W69)</f>
        <v>659.5</v>
      </c>
      <c r="X70" s="152">
        <f t="shared" si="214"/>
        <v>700.75</v>
      </c>
      <c r="Y70" s="152">
        <f t="shared" si="214"/>
        <v>742</v>
      </c>
      <c r="Z70" s="152">
        <f t="shared" si="214"/>
        <v>783.25</v>
      </c>
      <c r="AA70" s="152">
        <f t="shared" si="214"/>
        <v>824.5</v>
      </c>
      <c r="AB70" s="246"/>
      <c r="AC70" s="152">
        <f t="shared" ref="AC70:AG70" si="215">SUM(AC65:AC69)</f>
        <v>734.5</v>
      </c>
      <c r="AD70" s="152">
        <f t="shared" si="215"/>
        <v>775.75</v>
      </c>
      <c r="AE70" s="152">
        <f t="shared" si="215"/>
        <v>817</v>
      </c>
      <c r="AF70" s="152">
        <f t="shared" si="215"/>
        <v>858.25</v>
      </c>
      <c r="AG70" s="152">
        <f t="shared" si="215"/>
        <v>899.5</v>
      </c>
      <c r="AH70" s="246"/>
      <c r="AI70" s="146" t="s">
        <v>6</v>
      </c>
      <c r="AJ70" s="2"/>
      <c r="AK70" t="s">
        <v>178</v>
      </c>
    </row>
    <row r="71" spans="2:37" ht="15" thickBot="1" x14ac:dyDescent="0.45">
      <c r="B71" s="195"/>
      <c r="C71" s="195"/>
      <c r="D71" s="195"/>
      <c r="E71" s="195"/>
      <c r="F71" s="195"/>
      <c r="G71" s="195"/>
      <c r="H71" s="195"/>
      <c r="I71" s="195"/>
      <c r="J71" s="195"/>
      <c r="K71" s="195"/>
      <c r="L71" s="195"/>
      <c r="M71" s="195"/>
      <c r="N71" s="195"/>
      <c r="O71" s="195"/>
      <c r="P71" s="195"/>
      <c r="Q71" s="195"/>
      <c r="R71" s="195"/>
      <c r="S71" s="195"/>
      <c r="T71" s="195"/>
      <c r="U71" s="195"/>
      <c r="V71" s="195"/>
      <c r="W71" s="195"/>
      <c r="X71" s="195"/>
      <c r="Y71" s="195"/>
      <c r="Z71" s="195"/>
      <c r="AA71" s="195"/>
      <c r="AB71" s="195"/>
      <c r="AC71" s="195"/>
      <c r="AD71" s="195"/>
      <c r="AE71" s="195"/>
      <c r="AF71" s="195"/>
      <c r="AG71" s="195"/>
      <c r="AH71" s="195"/>
      <c r="AI71" s="195"/>
    </row>
    <row r="72" spans="2:37" s="5" customFormat="1" ht="16.3" thickTop="1" x14ac:dyDescent="0.45">
      <c r="B72" s="59" t="s">
        <v>187</v>
      </c>
      <c r="C72" s="59"/>
      <c r="D72" s="59"/>
      <c r="E72" s="60">
        <f t="shared" ref="E72:I72" si="216">E55+E60+E63-E70</f>
        <v>2450.0510896063997</v>
      </c>
      <c r="F72" s="60">
        <f t="shared" si="216"/>
        <v>3206.5534339183996</v>
      </c>
      <c r="G72" s="60">
        <f t="shared" si="216"/>
        <v>3827.2143613875196</v>
      </c>
      <c r="H72" s="60">
        <f t="shared" si="216"/>
        <v>4385.7009525087133</v>
      </c>
      <c r="I72" s="60">
        <f t="shared" si="216"/>
        <v>4864.5997797785594</v>
      </c>
      <c r="J72" s="247"/>
      <c r="K72" s="60">
        <f t="shared" ref="K72:O72" si="217">K55+K60+K63-K70</f>
        <v>2750.5450221103997</v>
      </c>
      <c r="L72" s="60">
        <f t="shared" si="217"/>
        <v>3602.2954771087998</v>
      </c>
      <c r="M72" s="60">
        <f t="shared" si="217"/>
        <v>4271.5733354355198</v>
      </c>
      <c r="N72" s="60">
        <f t="shared" si="217"/>
        <v>4854.6150960148116</v>
      </c>
      <c r="O72" s="60">
        <f t="shared" si="217"/>
        <v>5360.9066218937587</v>
      </c>
      <c r="P72" s="247"/>
      <c r="Q72" s="60">
        <f t="shared" ref="Q72:U72" si="218">Q55+Q60+Q63-Q70</f>
        <v>2917.2605448031995</v>
      </c>
      <c r="R72" s="60">
        <f t="shared" si="218"/>
        <v>3873.6899073420791</v>
      </c>
      <c r="S72" s="60">
        <f t="shared" si="218"/>
        <v>4604.7861557119995</v>
      </c>
      <c r="T72" s="60">
        <f t="shared" si="218"/>
        <v>5230.6408312340318</v>
      </c>
      <c r="U72" s="60">
        <f t="shared" si="218"/>
        <v>5763.5667654425597</v>
      </c>
      <c r="V72" s="247"/>
      <c r="W72" s="60">
        <f t="shared" ref="W72:AA72" si="219">W55+W60+W63-W70</f>
        <v>3059.1452306863998</v>
      </c>
      <c r="X72" s="60">
        <f t="shared" si="219"/>
        <v>4140.1507390150391</v>
      </c>
      <c r="Y72" s="60">
        <f t="shared" si="219"/>
        <v>4950.1229075916799</v>
      </c>
      <c r="Z72" s="60">
        <f t="shared" si="219"/>
        <v>5626.6200699061192</v>
      </c>
      <c r="AA72" s="60">
        <f t="shared" si="219"/>
        <v>6203.6649281311993</v>
      </c>
      <c r="AB72" s="247"/>
      <c r="AC72" s="60">
        <f t="shared" ref="AC72:AG72" si="220">AC55+AC60+AC63-AC70</f>
        <v>3002.3877411151998</v>
      </c>
      <c r="AD72" s="60">
        <f t="shared" si="220"/>
        <v>4129.6272790668791</v>
      </c>
      <c r="AE72" s="60">
        <f t="shared" si="220"/>
        <v>4955.3951297599997</v>
      </c>
      <c r="AF72" s="60">
        <f t="shared" si="220"/>
        <v>5621.2863761212757</v>
      </c>
      <c r="AG72" s="60">
        <f t="shared" si="220"/>
        <v>6184.8529472710388</v>
      </c>
      <c r="AH72" s="247"/>
      <c r="AI72" s="61" t="s">
        <v>6</v>
      </c>
      <c r="AJ72" s="2"/>
      <c r="AK72" t="s">
        <v>142</v>
      </c>
    </row>
    <row r="73" spans="2:37" s="4" customFormat="1" ht="18.45" x14ac:dyDescent="0.5">
      <c r="B73" s="99" t="s">
        <v>119</v>
      </c>
      <c r="C73" s="100"/>
      <c r="D73" s="101"/>
      <c r="E73" s="196">
        <f t="shared" ref="E73:I73" si="221">E72*20/E7</f>
        <v>4454.6383447389089</v>
      </c>
      <c r="F73" s="196">
        <f t="shared" si="221"/>
        <v>5830.0971525789082</v>
      </c>
      <c r="G73" s="196">
        <f t="shared" si="221"/>
        <v>6958.5715661591266</v>
      </c>
      <c r="H73" s="196">
        <f t="shared" si="221"/>
        <v>7974.0017318340242</v>
      </c>
      <c r="I73" s="196">
        <f t="shared" si="221"/>
        <v>8844.7268723246543</v>
      </c>
      <c r="J73" s="248"/>
      <c r="K73" s="196">
        <f t="shared" ref="K73:O73" si="222">K72*20/K7</f>
        <v>5000.9909492916358</v>
      </c>
      <c r="L73" s="196">
        <f t="shared" si="222"/>
        <v>6549.6281401978185</v>
      </c>
      <c r="M73" s="196">
        <f t="shared" si="222"/>
        <v>7766.4969735191262</v>
      </c>
      <c r="N73" s="196">
        <f t="shared" si="222"/>
        <v>8826.5729018451111</v>
      </c>
      <c r="O73" s="196">
        <f t="shared" si="222"/>
        <v>9747.1029488977438</v>
      </c>
      <c r="P73" s="248"/>
      <c r="Q73" s="196">
        <f t="shared" ref="Q73:U73" si="223">Q72*20/Q7</f>
        <v>5304.1100814603624</v>
      </c>
      <c r="R73" s="196">
        <f t="shared" si="223"/>
        <v>7043.0725588037803</v>
      </c>
      <c r="S73" s="196">
        <f t="shared" si="223"/>
        <v>8372.3384649309082</v>
      </c>
      <c r="T73" s="196">
        <f t="shared" si="223"/>
        <v>9510.2560567891487</v>
      </c>
      <c r="U73" s="196">
        <f t="shared" si="223"/>
        <v>10479.212300804655</v>
      </c>
      <c r="V73" s="248"/>
      <c r="W73" s="196">
        <f t="shared" ref="W73:AA73" si="224">W72*20/W7</f>
        <v>5562.0822376116357</v>
      </c>
      <c r="X73" s="196">
        <f t="shared" si="224"/>
        <v>7527.5467982091623</v>
      </c>
      <c r="Y73" s="196">
        <f t="shared" si="224"/>
        <v>9000.2234683485076</v>
      </c>
      <c r="Z73" s="196">
        <f t="shared" si="224"/>
        <v>10230.218308920217</v>
      </c>
      <c r="AA73" s="196">
        <f t="shared" si="224"/>
        <v>11279.390778420362</v>
      </c>
      <c r="AB73" s="248"/>
      <c r="AC73" s="196">
        <f t="shared" ref="AC73:AG73" si="225">AC72*20/AC7</f>
        <v>5458.8868020276359</v>
      </c>
      <c r="AD73" s="196">
        <f t="shared" si="225"/>
        <v>7508.4132346670531</v>
      </c>
      <c r="AE73" s="196">
        <f t="shared" si="225"/>
        <v>9009.8093268363627</v>
      </c>
      <c r="AF73" s="196">
        <f t="shared" si="225"/>
        <v>10220.520683856865</v>
      </c>
      <c r="AG73" s="196">
        <f t="shared" si="225"/>
        <v>11245.187176856434</v>
      </c>
      <c r="AH73" s="248"/>
      <c r="AI73" s="103"/>
      <c r="AJ73" s="104"/>
    </row>
    <row r="74" spans="2:37" x14ac:dyDescent="0.4">
      <c r="B74" s="105" t="s">
        <v>3</v>
      </c>
      <c r="C74" s="95"/>
      <c r="D74" s="96"/>
      <c r="E74" s="106">
        <f t="shared" ref="E74:I74" si="226">E24/E72</f>
        <v>9.9997914753426311</v>
      </c>
      <c r="F74" s="106">
        <f t="shared" si="226"/>
        <v>10.21345836734727</v>
      </c>
      <c r="G74" s="106">
        <f t="shared" si="226"/>
        <v>10.71275244304211</v>
      </c>
      <c r="H74" s="106">
        <f t="shared" si="226"/>
        <v>11.229675833649342</v>
      </c>
      <c r="I74" s="106">
        <f t="shared" si="226"/>
        <v>11.820088517665774</v>
      </c>
      <c r="J74" s="249"/>
      <c r="K74" s="106">
        <f t="shared" ref="K74:O74" si="227">K24/K72</f>
        <v>10.270691725789217</v>
      </c>
      <c r="L74" s="106">
        <f t="shared" si="227"/>
        <v>10.132428123107458</v>
      </c>
      <c r="M74" s="106">
        <f t="shared" si="227"/>
        <v>10.476233576225701</v>
      </c>
      <c r="N74" s="106">
        <f t="shared" si="227"/>
        <v>10.917446378706332</v>
      </c>
      <c r="O74" s="106">
        <f t="shared" si="227"/>
        <v>11.425306262537218</v>
      </c>
      <c r="P74" s="249"/>
      <c r="Q74" s="106">
        <f t="shared" ref="Q74:U74" si="228">Q24/Q72</f>
        <v>10.96919507481247</v>
      </c>
      <c r="R74" s="106">
        <f t="shared" si="228"/>
        <v>10.390609719097887</v>
      </c>
      <c r="S74" s="106">
        <f t="shared" si="228"/>
        <v>10.53251950469801</v>
      </c>
      <c r="T74" s="106">
        <f t="shared" si="228"/>
        <v>10.849531028994651</v>
      </c>
      <c r="U74" s="106">
        <f t="shared" si="228"/>
        <v>11.277738706824701</v>
      </c>
      <c r="V74" s="249"/>
      <c r="W74" s="106">
        <f t="shared" ref="W74:AA74" si="229">W24/W72</f>
        <v>12.912103552251795</v>
      </c>
      <c r="X74" s="106">
        <f t="shared" si="229"/>
        <v>11.533396489655336</v>
      </c>
      <c r="Y74" s="106">
        <f t="shared" si="229"/>
        <v>11.312850417131353</v>
      </c>
      <c r="Z74" s="106">
        <f t="shared" si="229"/>
        <v>11.418933427483406</v>
      </c>
      <c r="AA74" s="106">
        <f t="shared" si="229"/>
        <v>11.686640210247461</v>
      </c>
      <c r="AB74" s="249"/>
      <c r="AC74" s="106">
        <f t="shared" ref="AC74:AG74" si="230">AC24/AC72</f>
        <v>18.15221906673408</v>
      </c>
      <c r="AD74" s="106">
        <f t="shared" si="230"/>
        <v>15.195075913528653</v>
      </c>
      <c r="AE74" s="106">
        <f t="shared" si="230"/>
        <v>14.327818093375468</v>
      </c>
      <c r="AF74" s="106">
        <f t="shared" si="230"/>
        <v>14.098196515418064</v>
      </c>
      <c r="AG74" s="106">
        <f t="shared" si="230"/>
        <v>14.147466519573095</v>
      </c>
      <c r="AH74" s="249"/>
      <c r="AI74" s="77" t="s">
        <v>1</v>
      </c>
      <c r="AJ74" s="2"/>
      <c r="AK74" t="s">
        <v>180</v>
      </c>
    </row>
    <row r="75" spans="2:37" x14ac:dyDescent="0.4">
      <c r="B75" s="108" t="s">
        <v>127</v>
      </c>
      <c r="C75" s="59"/>
      <c r="D75" s="59"/>
      <c r="E75" s="107">
        <f>YIELD(DATE(2001,1,1),DATE(2020,12,31),1/E74,100,0.01,1)</f>
        <v>7.7543307631724956E-2</v>
      </c>
      <c r="F75" s="107">
        <f t="shared" ref="F75:I75" si="231">YIELD(DATE(2001,1,1),DATE(2020,12,31),1/F74,100,0.01,1)</f>
        <v>7.4749404198633559E-2</v>
      </c>
      <c r="G75" s="107">
        <f t="shared" si="231"/>
        <v>6.8564215825226746E-2</v>
      </c>
      <c r="H75" s="107">
        <f t="shared" si="231"/>
        <v>6.2616352831839833E-2</v>
      </c>
      <c r="I75" s="107">
        <f t="shared" si="231"/>
        <v>5.6319179511523272E-2</v>
      </c>
      <c r="J75" s="250"/>
      <c r="K75" s="107">
        <f>YIELD(DATE(2001,1,1),DATE(2020,12,31),1/K74,100,0.01,1)</f>
        <v>7.40165795980917E-2</v>
      </c>
      <c r="L75" s="107">
        <f t="shared" ref="L75" si="232">YIELD(DATE(2001,1,1),DATE(2020,12,31),1/L74,100,0.01,1)</f>
        <v>7.5798033719505276E-2</v>
      </c>
      <c r="M75" s="107">
        <f t="shared" ref="M75" si="233">YIELD(DATE(2001,1,1),DATE(2020,12,31),1/M74,100,0.01,1)</f>
        <v>7.1436709597146417E-2</v>
      </c>
      <c r="N75" s="107">
        <f t="shared" ref="N75" si="234">YIELD(DATE(2001,1,1),DATE(2020,12,31),1/N74,100,0.01,1)</f>
        <v>6.6156786093511347E-2</v>
      </c>
      <c r="O75" s="107">
        <f t="shared" ref="O75" si="235">YIELD(DATE(2001,1,1),DATE(2020,12,31),1/O74,100,0.01,1)</f>
        <v>6.047452231111692E-2</v>
      </c>
      <c r="P75" s="250"/>
      <c r="Q75" s="107">
        <f>YIELD(DATE(2001,1,1),DATE(2020,12,31),1/Q74,100,0.01,1)</f>
        <v>6.5559230178491121E-2</v>
      </c>
      <c r="R75" s="107">
        <f t="shared" ref="R75" si="236">YIELD(DATE(2001,1,1),DATE(2020,12,31),1/R74,100,0.01,1)</f>
        <v>7.2501707169816021E-2</v>
      </c>
      <c r="S75" s="107">
        <f t="shared" ref="S75" si="237">YIELD(DATE(2001,1,1),DATE(2020,12,31),1/S74,100,0.01,1)</f>
        <v>7.0744004426293403E-2</v>
      </c>
      <c r="T75" s="107">
        <f t="shared" ref="T75" si="238">YIELD(DATE(2001,1,1),DATE(2020,12,31),1/T74,100,0.01,1)</f>
        <v>6.6947721790483611E-2</v>
      </c>
      <c r="U75" s="107">
        <f t="shared" ref="U75" si="239">YIELD(DATE(2001,1,1),DATE(2020,12,31),1/U74,100,0.01,1)</f>
        <v>6.2084844205528393E-2</v>
      </c>
      <c r="V75" s="250"/>
      <c r="W75" s="107">
        <f>YIELD(DATE(2001,1,1),DATE(2020,12,31),1/W74,100,0.01,1)</f>
        <v>4.5849185023206243E-2</v>
      </c>
      <c r="X75" s="107">
        <f t="shared" ref="X75" si="240">YIELD(DATE(2001,1,1),DATE(2020,12,31),1/X74,100,0.01,1)</f>
        <v>5.9315146857496309E-2</v>
      </c>
      <c r="Y75" s="107">
        <f t="shared" ref="Y75" si="241">YIELD(DATE(2001,1,1),DATE(2020,12,31),1/Y74,100,0.01,1)</f>
        <v>6.1698759287203198E-2</v>
      </c>
      <c r="Z75" s="107">
        <f t="shared" ref="Z75" si="242">YIELD(DATE(2001,1,1),DATE(2020,12,31),1/Z74,100,0.01,1)</f>
        <v>6.0543403303091319E-2</v>
      </c>
      <c r="AA75" s="107">
        <f t="shared" ref="AA75" si="243">YIELD(DATE(2001,1,1),DATE(2020,12,31),1/AA74,100,0.01,1)</f>
        <v>5.7699730525536411E-2</v>
      </c>
      <c r="AB75" s="250"/>
      <c r="AC75" s="107">
        <f>YIELD(DATE(2001,1,1),DATE(2020,12,31),1/AC74,100,0.01,1)</f>
        <v>9.411020775092158E-3</v>
      </c>
      <c r="AD75" s="107">
        <f t="shared" ref="AD75" si="244">YIELD(DATE(2001,1,1),DATE(2020,12,31),1/AD74,100,0.01,1)</f>
        <v>2.7721213111080983E-2</v>
      </c>
      <c r="AE75" s="107">
        <f t="shared" ref="AE75" si="245">YIELD(DATE(2001,1,1),DATE(2020,12,31),1/AE74,100,0.01,1)</f>
        <v>3.4102412551154516E-2</v>
      </c>
      <c r="AF75" s="107">
        <f t="shared" ref="AF75" si="246">YIELD(DATE(2001,1,1),DATE(2020,12,31),1/AF74,100,0.01,1)</f>
        <v>3.5887878023349556E-2</v>
      </c>
      <c r="AG75" s="107">
        <f t="shared" ref="AG75" si="247">YIELD(DATE(2001,1,1),DATE(2020,12,31),1/AG74,100,0.01,1)</f>
        <v>3.5501164724221573E-2</v>
      </c>
      <c r="AH75" s="250"/>
      <c r="AI75" s="77" t="s">
        <v>62</v>
      </c>
      <c r="AJ75" s="52"/>
      <c r="AK75" t="s">
        <v>75</v>
      </c>
    </row>
    <row r="76" spans="2:37" x14ac:dyDescent="0.4">
      <c r="B76" s="117"/>
      <c r="C76" s="52"/>
      <c r="D76" s="52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52"/>
      <c r="AJ76" s="52"/>
    </row>
    <row r="77" spans="2:37" ht="15" thickBot="1" x14ac:dyDescent="0.45">
      <c r="B77" s="59" t="s">
        <v>188</v>
      </c>
      <c r="C77" s="96"/>
      <c r="D77" s="96"/>
      <c r="E77" s="208">
        <f>SUM(E78:E80)</f>
        <v>1980</v>
      </c>
      <c r="F77" s="208">
        <f t="shared" ref="F77:I77" si="248">SUM(F78:F80)</f>
        <v>1980</v>
      </c>
      <c r="G77" s="208">
        <f t="shared" si="248"/>
        <v>1980</v>
      </c>
      <c r="H77" s="208">
        <f t="shared" si="248"/>
        <v>1980</v>
      </c>
      <c r="I77" s="208">
        <f t="shared" si="248"/>
        <v>1980</v>
      </c>
      <c r="J77" s="251"/>
      <c r="K77" s="208">
        <f>SUM(K78:K80)</f>
        <v>1980</v>
      </c>
      <c r="L77" s="208">
        <f t="shared" ref="L77" si="249">SUM(L78:L80)</f>
        <v>1980</v>
      </c>
      <c r="M77" s="208">
        <f t="shared" ref="M77" si="250">SUM(M78:M80)</f>
        <v>1980</v>
      </c>
      <c r="N77" s="208">
        <f t="shared" ref="N77" si="251">SUM(N78:N80)</f>
        <v>1980</v>
      </c>
      <c r="O77" s="208">
        <f t="shared" ref="O77" si="252">SUM(O78:O80)</f>
        <v>1980</v>
      </c>
      <c r="P77" s="251"/>
      <c r="Q77" s="208">
        <f>SUM(Q78:Q80)</f>
        <v>1980</v>
      </c>
      <c r="R77" s="208">
        <f t="shared" ref="R77" si="253">SUM(R78:R80)</f>
        <v>1980</v>
      </c>
      <c r="S77" s="208">
        <f t="shared" ref="S77" si="254">SUM(S78:S80)</f>
        <v>1980</v>
      </c>
      <c r="T77" s="208">
        <f t="shared" ref="T77" si="255">SUM(T78:T80)</f>
        <v>1980</v>
      </c>
      <c r="U77" s="208">
        <f t="shared" ref="U77" si="256">SUM(U78:U80)</f>
        <v>1980</v>
      </c>
      <c r="V77" s="251"/>
      <c r="W77" s="208">
        <f>SUM(W78:W80)</f>
        <v>1980</v>
      </c>
      <c r="X77" s="208">
        <f t="shared" ref="X77" si="257">SUM(X78:X80)</f>
        <v>1980</v>
      </c>
      <c r="Y77" s="208">
        <f t="shared" ref="Y77" si="258">SUM(Y78:Y80)</f>
        <v>1980</v>
      </c>
      <c r="Z77" s="208">
        <f t="shared" ref="Z77" si="259">SUM(Z78:Z80)</f>
        <v>1980</v>
      </c>
      <c r="AA77" s="208">
        <f t="shared" ref="AA77" si="260">SUM(AA78:AA80)</f>
        <v>1980</v>
      </c>
      <c r="AB77" s="251"/>
      <c r="AC77" s="208">
        <f>SUM(AC78:AC80)</f>
        <v>1980</v>
      </c>
      <c r="AD77" s="208">
        <f t="shared" ref="AD77" si="261">SUM(AD78:AD80)</f>
        <v>1980</v>
      </c>
      <c r="AE77" s="208">
        <f t="shared" ref="AE77" si="262">SUM(AE78:AE80)</f>
        <v>1980</v>
      </c>
      <c r="AF77" s="208">
        <f t="shared" ref="AF77" si="263">SUM(AF78:AF80)</f>
        <v>1980</v>
      </c>
      <c r="AG77" s="208">
        <f t="shared" ref="AG77" si="264">SUM(AG78:AG80)</f>
        <v>1980</v>
      </c>
      <c r="AH77" s="251"/>
      <c r="AI77" s="209" t="s">
        <v>6</v>
      </c>
      <c r="AJ77" s="2"/>
    </row>
    <row r="78" spans="2:37" ht="15" thickBot="1" x14ac:dyDescent="0.45">
      <c r="B78" s="122" t="s">
        <v>184</v>
      </c>
      <c r="C78" s="153">
        <v>180</v>
      </c>
      <c r="D78" s="154" t="s">
        <v>96</v>
      </c>
      <c r="E78" s="118">
        <f t="shared" ref="E78:I78" si="265">IF(E9="Einzählermodell",$C78*E7,0)</f>
        <v>1980</v>
      </c>
      <c r="F78" s="118">
        <f t="shared" si="265"/>
        <v>1980</v>
      </c>
      <c r="G78" s="118">
        <f t="shared" si="265"/>
        <v>1980</v>
      </c>
      <c r="H78" s="118">
        <f t="shared" si="265"/>
        <v>1980</v>
      </c>
      <c r="I78" s="118">
        <f t="shared" si="265"/>
        <v>1980</v>
      </c>
      <c r="J78" s="243"/>
      <c r="K78" s="118">
        <f t="shared" ref="K78:O78" si="266">IF(K9="Einzählermodell",$C78*K7,0)</f>
        <v>1980</v>
      </c>
      <c r="L78" s="118">
        <f t="shared" si="266"/>
        <v>1980</v>
      </c>
      <c r="M78" s="118">
        <f t="shared" si="266"/>
        <v>1980</v>
      </c>
      <c r="N78" s="118">
        <f t="shared" si="266"/>
        <v>1980</v>
      </c>
      <c r="O78" s="118">
        <f t="shared" si="266"/>
        <v>1980</v>
      </c>
      <c r="P78" s="243"/>
      <c r="Q78" s="118">
        <f t="shared" ref="Q78:U78" si="267">IF(Q9="Einzählermodell",$C78*Q7,0)</f>
        <v>1980</v>
      </c>
      <c r="R78" s="118">
        <f t="shared" si="267"/>
        <v>1980</v>
      </c>
      <c r="S78" s="118">
        <f t="shared" si="267"/>
        <v>1980</v>
      </c>
      <c r="T78" s="118">
        <f t="shared" si="267"/>
        <v>1980</v>
      </c>
      <c r="U78" s="118">
        <f t="shared" si="267"/>
        <v>1980</v>
      </c>
      <c r="V78" s="243"/>
      <c r="W78" s="118">
        <f t="shared" ref="W78:AA78" si="268">IF(W9="Einzählermodell",$C78*W7,0)</f>
        <v>1980</v>
      </c>
      <c r="X78" s="118">
        <f t="shared" si="268"/>
        <v>1980</v>
      </c>
      <c r="Y78" s="118">
        <f t="shared" si="268"/>
        <v>1980</v>
      </c>
      <c r="Z78" s="118">
        <f t="shared" si="268"/>
        <v>1980</v>
      </c>
      <c r="AA78" s="118">
        <f t="shared" si="268"/>
        <v>1980</v>
      </c>
      <c r="AB78" s="243"/>
      <c r="AC78" s="118">
        <f t="shared" ref="AC78:AG78" si="269">IF(AC9="Einzählermodell",$C78*AC7,0)</f>
        <v>1980</v>
      </c>
      <c r="AD78" s="118">
        <f t="shared" si="269"/>
        <v>1980</v>
      </c>
      <c r="AE78" s="118">
        <f t="shared" si="269"/>
        <v>1980</v>
      </c>
      <c r="AF78" s="118">
        <f t="shared" si="269"/>
        <v>1980</v>
      </c>
      <c r="AG78" s="118">
        <f t="shared" si="269"/>
        <v>1980</v>
      </c>
      <c r="AH78" s="243"/>
      <c r="AI78" s="154" t="s">
        <v>6</v>
      </c>
      <c r="AJ78" s="2"/>
      <c r="AK78" t="s">
        <v>154</v>
      </c>
    </row>
    <row r="79" spans="2:37" ht="15" thickBot="1" x14ac:dyDescent="0.45">
      <c r="B79" s="206" t="s">
        <v>183</v>
      </c>
      <c r="C79" s="207"/>
      <c r="D79" s="204"/>
      <c r="E79" s="205">
        <f t="shared" ref="E79:I79" si="270">E51*(E52-E54)</f>
        <v>0</v>
      </c>
      <c r="F79" s="205">
        <f t="shared" si="270"/>
        <v>0</v>
      </c>
      <c r="G79" s="205">
        <f t="shared" si="270"/>
        <v>0</v>
      </c>
      <c r="H79" s="205">
        <f t="shared" si="270"/>
        <v>0</v>
      </c>
      <c r="I79" s="205">
        <f t="shared" si="270"/>
        <v>0</v>
      </c>
      <c r="J79" s="9"/>
      <c r="K79" s="205">
        <f t="shared" ref="K79:O79" si="271">K51*(K52-K54)</f>
        <v>0</v>
      </c>
      <c r="L79" s="205">
        <f t="shared" si="271"/>
        <v>0</v>
      </c>
      <c r="M79" s="205">
        <f t="shared" si="271"/>
        <v>0</v>
      </c>
      <c r="N79" s="205">
        <f t="shared" si="271"/>
        <v>0</v>
      </c>
      <c r="O79" s="205">
        <f t="shared" si="271"/>
        <v>0</v>
      </c>
      <c r="P79" s="9"/>
      <c r="Q79" s="205">
        <f t="shared" ref="Q79:U79" si="272">Q51*(Q52-Q54)</f>
        <v>0</v>
      </c>
      <c r="R79" s="205">
        <f t="shared" si="272"/>
        <v>0</v>
      </c>
      <c r="S79" s="205">
        <f t="shared" si="272"/>
        <v>0</v>
      </c>
      <c r="T79" s="205">
        <f t="shared" si="272"/>
        <v>0</v>
      </c>
      <c r="U79" s="205">
        <f t="shared" si="272"/>
        <v>0</v>
      </c>
      <c r="V79" s="9"/>
      <c r="W79" s="205">
        <f t="shared" ref="W79:AA79" si="273">W51*(W52-W54)</f>
        <v>0</v>
      </c>
      <c r="X79" s="205">
        <f t="shared" si="273"/>
        <v>0</v>
      </c>
      <c r="Y79" s="205">
        <f t="shared" si="273"/>
        <v>0</v>
      </c>
      <c r="Z79" s="205">
        <f t="shared" si="273"/>
        <v>0</v>
      </c>
      <c r="AA79" s="205">
        <f t="shared" si="273"/>
        <v>0</v>
      </c>
      <c r="AB79" s="9"/>
      <c r="AC79" s="205">
        <f t="shared" ref="AC79:AG79" si="274">AC51*(AC52-AC54)</f>
        <v>0</v>
      </c>
      <c r="AD79" s="205">
        <f t="shared" si="274"/>
        <v>0</v>
      </c>
      <c r="AE79" s="205">
        <f t="shared" si="274"/>
        <v>0</v>
      </c>
      <c r="AF79" s="205">
        <f t="shared" si="274"/>
        <v>0</v>
      </c>
      <c r="AG79" s="205">
        <f t="shared" si="274"/>
        <v>0</v>
      </c>
      <c r="AH79" s="9"/>
      <c r="AI79" s="204" t="s">
        <v>6</v>
      </c>
      <c r="AJ79" s="2"/>
    </row>
    <row r="80" spans="2:37" ht="15" thickBot="1" x14ac:dyDescent="0.45">
      <c r="B80" s="206" t="s">
        <v>221</v>
      </c>
      <c r="C80" s="153">
        <v>30</v>
      </c>
      <c r="D80" s="204" t="s">
        <v>96</v>
      </c>
      <c r="E80" s="205" cm="1">
        <f t="array" ref="E80">_xlfn.SWITCH(E9,"Mieterstrom",-$C80*E7,"GGV",-$C80*E7,0)</f>
        <v>0</v>
      </c>
      <c r="F80" s="205" cm="1">
        <f t="array" ref="F80">_xlfn.SWITCH(F9,"Mieterstrom",-$C80*F7,"GGV",-$C80*F7,0)</f>
        <v>0</v>
      </c>
      <c r="G80" s="205" cm="1">
        <f t="array" ref="G80">_xlfn.SWITCH(G9,"Mieterstrom",-$C80*G7,"GGV",-$C80*G7,0)</f>
        <v>0</v>
      </c>
      <c r="H80" s="205" cm="1">
        <f t="array" ref="H80">_xlfn.SWITCH(H9,"Mieterstrom",-$C80*H7,"GGV",-$C80*H7,0)</f>
        <v>0</v>
      </c>
      <c r="I80" s="205" cm="1">
        <f t="array" ref="I80">_xlfn.SWITCH(I9,"Mieterstrom",-$C80*I7,"GGV",-$C80*I7,0)</f>
        <v>0</v>
      </c>
      <c r="J80" s="9"/>
      <c r="K80" s="205" cm="1">
        <f t="array" ref="K80">_xlfn.SWITCH(K9,"Mieterstrom",-$C80*K7,"GGV",-$C80*K7,0)</f>
        <v>0</v>
      </c>
      <c r="L80" s="205" cm="1">
        <f t="array" ref="L80">_xlfn.SWITCH(L9,"Mieterstrom",-$C80*L7,"GGV",-$C80*L7,0)</f>
        <v>0</v>
      </c>
      <c r="M80" s="205" cm="1">
        <f t="array" ref="M80">_xlfn.SWITCH(M9,"Mieterstrom",-$C80*M7,"GGV",-$C80*M7,0)</f>
        <v>0</v>
      </c>
      <c r="N80" s="205" cm="1">
        <f t="array" ref="N80">_xlfn.SWITCH(N9,"Mieterstrom",-$C80*N7,"GGV",-$C80*N7,0)</f>
        <v>0</v>
      </c>
      <c r="O80" s="205" cm="1">
        <f t="array" ref="O80">_xlfn.SWITCH(O9,"Mieterstrom",-$C80*O7,"GGV",-$C80*O7,0)</f>
        <v>0</v>
      </c>
      <c r="P80" s="9"/>
      <c r="Q80" s="205" cm="1">
        <f t="array" ref="Q80">_xlfn.SWITCH(Q9,"Mieterstrom",-$C80*Q7,"GGV",-$C80*Q7,0)</f>
        <v>0</v>
      </c>
      <c r="R80" s="205" cm="1">
        <f t="array" ref="R80">_xlfn.SWITCH(R9,"Mieterstrom",-$C80*R7,"GGV",-$C80*R7,0)</f>
        <v>0</v>
      </c>
      <c r="S80" s="205" cm="1">
        <f t="array" ref="S80">_xlfn.SWITCH(S9,"Mieterstrom",-$C80*S7,"GGV",-$C80*S7,0)</f>
        <v>0</v>
      </c>
      <c r="T80" s="205" cm="1">
        <f t="array" ref="T80">_xlfn.SWITCH(T9,"Mieterstrom",-$C80*T7,"GGV",-$C80*T7,0)</f>
        <v>0</v>
      </c>
      <c r="U80" s="205" cm="1">
        <f t="array" ref="U80">_xlfn.SWITCH(U9,"Mieterstrom",-$C80*U7,"GGV",-$C80*U7,0)</f>
        <v>0</v>
      </c>
      <c r="V80" s="9"/>
      <c r="W80" s="205" cm="1">
        <f t="array" ref="W80">_xlfn.SWITCH(W9,"Mieterstrom",-$C80*W7,"GGV",-$C80*W7,0)</f>
        <v>0</v>
      </c>
      <c r="X80" s="205" cm="1">
        <f t="array" ref="X80">_xlfn.SWITCH(X9,"Mieterstrom",-$C80*X7,"GGV",-$C80*X7,0)</f>
        <v>0</v>
      </c>
      <c r="Y80" s="205" cm="1">
        <f t="array" ref="Y80">_xlfn.SWITCH(Y9,"Mieterstrom",-$C80*Y7,"GGV",-$C80*Y7,0)</f>
        <v>0</v>
      </c>
      <c r="Z80" s="205" cm="1">
        <f t="array" ref="Z80">_xlfn.SWITCH(Z9,"Mieterstrom",-$C80*Z7,"GGV",-$C80*Z7,0)</f>
        <v>0</v>
      </c>
      <c r="AA80" s="205" cm="1">
        <f t="array" ref="AA80">_xlfn.SWITCH(AA9,"Mieterstrom",-$C80*AA7,"GGV",-$C80*AA7,0)</f>
        <v>0</v>
      </c>
      <c r="AB80" s="9"/>
      <c r="AC80" s="205" cm="1">
        <f t="array" ref="AC80">_xlfn.SWITCH(AC9,"Mieterstrom",-$C80*AC7,"GGV",-$C80*AC7,0)</f>
        <v>0</v>
      </c>
      <c r="AD80" s="205" cm="1">
        <f t="array" ref="AD80">_xlfn.SWITCH(AD9,"Mieterstrom",-$C80*AD7,"GGV",-$C80*AD7,0)</f>
        <v>0</v>
      </c>
      <c r="AE80" s="205" cm="1">
        <f t="array" ref="AE80">_xlfn.SWITCH(AE9,"Mieterstrom",-$C80*AE7,"GGV",-$C80*AE7,0)</f>
        <v>0</v>
      </c>
      <c r="AF80" s="205" cm="1">
        <f t="array" ref="AF80">_xlfn.SWITCH(AF9,"Mieterstrom",-$C80*AF7,"GGV",-$C80*AF7,0)</f>
        <v>0</v>
      </c>
      <c r="AG80" s="205" cm="1">
        <f t="array" ref="AG80">_xlfn.SWITCH(AG9,"Mieterstrom",-$C80*AG7,"GGV",-$C80*AG7,0)</f>
        <v>0</v>
      </c>
      <c r="AH80" s="9"/>
      <c r="AI80" s="204" t="s">
        <v>6</v>
      </c>
      <c r="AJ80" s="2"/>
    </row>
    <row r="81" spans="1:37" ht="15" thickBot="1" x14ac:dyDescent="0.45">
      <c r="B81" s="119"/>
      <c r="C81" s="120"/>
      <c r="D81" s="120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0"/>
      <c r="AJ81" s="52"/>
    </row>
    <row r="82" spans="1:37" ht="15" thickTop="1" x14ac:dyDescent="0.4">
      <c r="B82" s="59" t="s">
        <v>189</v>
      </c>
      <c r="C82" s="59"/>
      <c r="D82" s="59"/>
      <c r="E82" s="60">
        <f>E72+E77</f>
        <v>4430.0510896063997</v>
      </c>
      <c r="F82" s="60">
        <f t="shared" ref="F82:I82" si="275">F72+F77</f>
        <v>5186.5534339183996</v>
      </c>
      <c r="G82" s="60">
        <f t="shared" si="275"/>
        <v>5807.2143613875196</v>
      </c>
      <c r="H82" s="60">
        <f t="shared" si="275"/>
        <v>6365.7009525087133</v>
      </c>
      <c r="I82" s="60">
        <f t="shared" si="275"/>
        <v>6844.5997797785594</v>
      </c>
      <c r="J82" s="247"/>
      <c r="K82" s="60">
        <f>K72+K77</f>
        <v>4730.5450221104002</v>
      </c>
      <c r="L82" s="60">
        <f t="shared" ref="L82:O82" si="276">L72+L77</f>
        <v>5582.2954771087998</v>
      </c>
      <c r="M82" s="60">
        <f t="shared" si="276"/>
        <v>6251.5733354355198</v>
      </c>
      <c r="N82" s="60">
        <f t="shared" si="276"/>
        <v>6834.6150960148116</v>
      </c>
      <c r="O82" s="60">
        <f t="shared" si="276"/>
        <v>7340.9066218937587</v>
      </c>
      <c r="P82" s="247"/>
      <c r="Q82" s="60">
        <f>Q72+Q77</f>
        <v>4897.2605448031991</v>
      </c>
      <c r="R82" s="60">
        <f t="shared" ref="R82:U82" si="277">R72+R77</f>
        <v>5853.6899073420791</v>
      </c>
      <c r="S82" s="60">
        <f t="shared" si="277"/>
        <v>6584.7861557119995</v>
      </c>
      <c r="T82" s="60">
        <f t="shared" si="277"/>
        <v>7210.6408312340318</v>
      </c>
      <c r="U82" s="60">
        <f t="shared" si="277"/>
        <v>7743.5667654425597</v>
      </c>
      <c r="V82" s="247"/>
      <c r="W82" s="60">
        <f>W72+W77</f>
        <v>5039.1452306863994</v>
      </c>
      <c r="X82" s="60">
        <f t="shared" ref="X82:AA82" si="278">X72+X77</f>
        <v>6120.1507390150391</v>
      </c>
      <c r="Y82" s="60">
        <f t="shared" si="278"/>
        <v>6930.1229075916799</v>
      </c>
      <c r="Z82" s="60">
        <f t="shared" si="278"/>
        <v>7606.6200699061192</v>
      </c>
      <c r="AA82" s="60">
        <f t="shared" si="278"/>
        <v>8183.6649281311993</v>
      </c>
      <c r="AB82" s="247"/>
      <c r="AC82" s="60">
        <f>AC72+AC77</f>
        <v>4982.3877411151998</v>
      </c>
      <c r="AD82" s="60">
        <f t="shared" ref="AD82:AG82" si="279">AD72+AD77</f>
        <v>6109.6272790668791</v>
      </c>
      <c r="AE82" s="60">
        <f t="shared" si="279"/>
        <v>6935.3951297599997</v>
      </c>
      <c r="AF82" s="60">
        <f t="shared" si="279"/>
        <v>7601.2863761212757</v>
      </c>
      <c r="AG82" s="60">
        <f t="shared" si="279"/>
        <v>8164.8529472710388</v>
      </c>
      <c r="AH82" s="247"/>
      <c r="AI82" s="61" t="s">
        <v>6</v>
      </c>
      <c r="AJ82" s="2"/>
      <c r="AK82" t="s">
        <v>185</v>
      </c>
    </row>
    <row r="83" spans="1:37" s="4" customFormat="1" ht="18.45" x14ac:dyDescent="0.5">
      <c r="B83" s="99" t="s">
        <v>119</v>
      </c>
      <c r="C83" s="100"/>
      <c r="D83" s="101"/>
      <c r="E83" s="196">
        <f t="shared" ref="E83:I83" si="280">E82*20/E7</f>
        <v>8054.6383447389089</v>
      </c>
      <c r="F83" s="196">
        <f t="shared" si="280"/>
        <v>9430.0971525789082</v>
      </c>
      <c r="G83" s="196">
        <f t="shared" si="280"/>
        <v>10558.571566159126</v>
      </c>
      <c r="H83" s="196">
        <f t="shared" si="280"/>
        <v>11574.001731834023</v>
      </c>
      <c r="I83" s="196">
        <f t="shared" si="280"/>
        <v>12444.726872324653</v>
      </c>
      <c r="J83" s="248"/>
      <c r="K83" s="196">
        <f t="shared" ref="K83:O83" si="281">K82*20/K7</f>
        <v>8600.9909492916358</v>
      </c>
      <c r="L83" s="196">
        <f t="shared" si="281"/>
        <v>10149.628140197818</v>
      </c>
      <c r="M83" s="196">
        <f t="shared" si="281"/>
        <v>11366.496973519126</v>
      </c>
      <c r="N83" s="196">
        <f t="shared" si="281"/>
        <v>12426.572901845111</v>
      </c>
      <c r="O83" s="196">
        <f t="shared" si="281"/>
        <v>13347.102948897744</v>
      </c>
      <c r="P83" s="248"/>
      <c r="Q83" s="196">
        <f t="shared" ref="Q83:U83" si="282">Q82*20/Q7</f>
        <v>8904.1100814603615</v>
      </c>
      <c r="R83" s="196">
        <f t="shared" si="282"/>
        <v>10643.07255880378</v>
      </c>
      <c r="S83" s="196">
        <f t="shared" si="282"/>
        <v>11972.338464930908</v>
      </c>
      <c r="T83" s="196">
        <f t="shared" si="282"/>
        <v>13110.256056789151</v>
      </c>
      <c r="U83" s="196">
        <f t="shared" si="282"/>
        <v>14079.212300804655</v>
      </c>
      <c r="V83" s="248"/>
      <c r="W83" s="196">
        <f t="shared" ref="W83:AA83" si="283">W82*20/W7</f>
        <v>9162.0822376116357</v>
      </c>
      <c r="X83" s="196">
        <f t="shared" si="283"/>
        <v>11127.546798209163</v>
      </c>
      <c r="Y83" s="196">
        <f t="shared" si="283"/>
        <v>12600.223468348508</v>
      </c>
      <c r="Z83" s="196">
        <f t="shared" si="283"/>
        <v>13830.218308920215</v>
      </c>
      <c r="AA83" s="196">
        <f t="shared" si="283"/>
        <v>14879.390778420364</v>
      </c>
      <c r="AB83" s="248"/>
      <c r="AC83" s="196">
        <f t="shared" ref="AC83:AG83" si="284">AC82*20/AC7</f>
        <v>9058.886802027635</v>
      </c>
      <c r="AD83" s="196">
        <f t="shared" si="284"/>
        <v>11108.413234667054</v>
      </c>
      <c r="AE83" s="196">
        <f t="shared" si="284"/>
        <v>12609.809326836363</v>
      </c>
      <c r="AF83" s="196">
        <f t="shared" si="284"/>
        <v>13820.520683856867</v>
      </c>
      <c r="AG83" s="196">
        <f t="shared" si="284"/>
        <v>14845.187176856434</v>
      </c>
      <c r="AH83" s="248"/>
      <c r="AI83" s="102"/>
      <c r="AJ83" s="197"/>
      <c r="AK83" s="4" t="s">
        <v>103</v>
      </c>
    </row>
    <row r="84" spans="1:37" x14ac:dyDescent="0.4">
      <c r="B84" s="105" t="s">
        <v>3</v>
      </c>
      <c r="C84" s="95"/>
      <c r="D84" s="96"/>
      <c r="E84" s="106">
        <f t="shared" ref="E84:I84" si="285">E24/E82</f>
        <v>5.5304102603874874</v>
      </c>
      <c r="F84" s="106">
        <f t="shared" si="285"/>
        <v>6.3144052051648556</v>
      </c>
      <c r="G84" s="106">
        <f t="shared" si="285"/>
        <v>7.0601836695767943</v>
      </c>
      <c r="H84" s="106">
        <f t="shared" si="285"/>
        <v>7.7367756304340132</v>
      </c>
      <c r="I84" s="106">
        <f t="shared" si="285"/>
        <v>8.4007833693762404</v>
      </c>
      <c r="J84" s="249"/>
      <c r="K84" s="106">
        <f t="shared" ref="K84:O84" si="286">K24/K82</f>
        <v>5.9718277424610688</v>
      </c>
      <c r="L84" s="106">
        <f t="shared" si="286"/>
        <v>6.5385288452886048</v>
      </c>
      <c r="M84" s="106">
        <f t="shared" si="286"/>
        <v>7.1581980405389363</v>
      </c>
      <c r="N84" s="106">
        <f t="shared" si="286"/>
        <v>7.7546429836120128</v>
      </c>
      <c r="O84" s="106">
        <f t="shared" si="286"/>
        <v>8.3436560570496852</v>
      </c>
      <c r="P84" s="249"/>
      <c r="Q84" s="106">
        <f t="shared" ref="Q84:U84" si="287">Q24/Q82</f>
        <v>6.5342653729047102</v>
      </c>
      <c r="R84" s="106">
        <f t="shared" si="287"/>
        <v>6.876004816981478</v>
      </c>
      <c r="S84" s="106">
        <f t="shared" si="287"/>
        <v>7.3654631833303315</v>
      </c>
      <c r="T84" s="106">
        <f t="shared" si="287"/>
        <v>7.8703129622236068</v>
      </c>
      <c r="U84" s="106">
        <f t="shared" si="287"/>
        <v>8.3940646434505339</v>
      </c>
      <c r="V84" s="249"/>
      <c r="W84" s="106">
        <f t="shared" ref="W84:AA84" si="288">W24/W82</f>
        <v>7.8386309962770353</v>
      </c>
      <c r="X84" s="106">
        <f t="shared" si="288"/>
        <v>7.8020954117356851</v>
      </c>
      <c r="Y84" s="106">
        <f t="shared" si="288"/>
        <v>8.0806647655057002</v>
      </c>
      <c r="Z84" s="106">
        <f t="shared" si="288"/>
        <v>8.4465898663968595</v>
      </c>
      <c r="AA84" s="106">
        <f t="shared" si="288"/>
        <v>8.8591114905966606</v>
      </c>
      <c r="AB84" s="249"/>
      <c r="AC84" s="106">
        <f t="shared" ref="AC84:AG84" si="289">AC24/AC82</f>
        <v>10.938530446006869</v>
      </c>
      <c r="AD84" s="106">
        <f t="shared" si="289"/>
        <v>10.270675629427886</v>
      </c>
      <c r="AE84" s="106">
        <f t="shared" si="289"/>
        <v>10.237340291591572</v>
      </c>
      <c r="AF84" s="106">
        <f t="shared" si="289"/>
        <v>10.42586689655009</v>
      </c>
      <c r="AG84" s="106">
        <f t="shared" si="289"/>
        <v>10.716665758107176</v>
      </c>
      <c r="AH84" s="249"/>
      <c r="AI84" s="77" t="s">
        <v>1</v>
      </c>
      <c r="AJ84" s="52"/>
      <c r="AK84" t="s">
        <v>180</v>
      </c>
    </row>
    <row r="85" spans="1:37" x14ac:dyDescent="0.4">
      <c r="B85" s="105" t="s">
        <v>128</v>
      </c>
      <c r="C85" s="95"/>
      <c r="D85" s="96"/>
      <c r="E85" s="107">
        <f>YIELD(DATE(2001,1,1),DATE(2020,12,31),1/E84,100,0.01,1)</f>
        <v>0.17342811851484161</v>
      </c>
      <c r="F85" s="107">
        <f t="shared" ref="F85:I85" si="290">YIELD(DATE(2001,1,1),DATE(2020,12,31),1/F84,100,0.01,1)</f>
        <v>0.14841353553296427</v>
      </c>
      <c r="G85" s="107">
        <f t="shared" si="290"/>
        <v>0.12915655587489397</v>
      </c>
      <c r="H85" s="107">
        <f t="shared" si="290"/>
        <v>0.11444813149371787</v>
      </c>
      <c r="I85" s="107">
        <f t="shared" si="290"/>
        <v>0.10195515350904115</v>
      </c>
      <c r="J85" s="250"/>
      <c r="K85" s="107">
        <f>YIELD(DATE(2001,1,1),DATE(2020,12,31),1/K84,100,0.01,1)</f>
        <v>0.15863522707563346</v>
      </c>
      <c r="L85" s="107">
        <f t="shared" ref="L85" si="291">YIELD(DATE(2001,1,1),DATE(2020,12,31),1/L84,100,0.01,1)</f>
        <v>0.14223138537721233</v>
      </c>
      <c r="M85" s="107">
        <f t="shared" ref="M85" si="292">YIELD(DATE(2001,1,1),DATE(2020,12,31),1/M84,100,0.01,1)</f>
        <v>0.12688159838089427</v>
      </c>
      <c r="N85" s="107">
        <f t="shared" ref="N85" si="293">YIELD(DATE(2001,1,1),DATE(2020,12,31),1/N84,100,0.01,1)</f>
        <v>0.11408893646161881</v>
      </c>
      <c r="O85" s="107">
        <f t="shared" ref="O85" si="294">YIELD(DATE(2001,1,1),DATE(2020,12,31),1/O84,100,0.01,1)</f>
        <v>0.10296546566393323</v>
      </c>
      <c r="P85" s="250"/>
      <c r="Q85" s="107">
        <f>YIELD(DATE(2001,1,1),DATE(2020,12,31),1/Q84,100,0.01,1)</f>
        <v>0.14234557299067185</v>
      </c>
      <c r="R85" s="107">
        <f t="shared" ref="R85" si="295">YIELD(DATE(2001,1,1),DATE(2020,12,31),1/R84,100,0.01,1)</f>
        <v>0.13357952213033428</v>
      </c>
      <c r="S85" s="107">
        <f t="shared" ref="S85" si="296">YIELD(DATE(2001,1,1),DATE(2020,12,31),1/S84,100,0.01,1)</f>
        <v>0.12223960165396461</v>
      </c>
      <c r="T85" s="107">
        <f t="shared" ref="T85" si="297">YIELD(DATE(2001,1,1),DATE(2020,12,31),1/T84,100,0.01,1)</f>
        <v>0.11179636234811176</v>
      </c>
      <c r="U85" s="107">
        <f t="shared" ref="U85" si="298">YIELD(DATE(2001,1,1),DATE(2020,12,31),1/U84,100,0.01,1)</f>
        <v>0.10207339266767046</v>
      </c>
      <c r="V85" s="250"/>
      <c r="W85" s="107">
        <f>YIELD(DATE(2001,1,1),DATE(2020,12,31),1/W84,100,0.01,1)</f>
        <v>0.11241871913546719</v>
      </c>
      <c r="X85" s="107">
        <f t="shared" ref="X85" si="299">YIELD(DATE(2001,1,1),DATE(2020,12,31),1/X84,100,0.01,1)</f>
        <v>0.11314161463677508</v>
      </c>
      <c r="Y85" s="107">
        <f t="shared" ref="Y85" si="300">YIELD(DATE(2001,1,1),DATE(2020,12,31),1/Y84,100,0.01,1)</f>
        <v>0.10776686308963783</v>
      </c>
      <c r="Z85" s="107">
        <f t="shared" ref="Z85" si="301">YIELD(DATE(2001,1,1),DATE(2020,12,31),1/Z84,100,0.01,1)</f>
        <v>0.10115312652874417</v>
      </c>
      <c r="AA85" s="107">
        <f t="shared" ref="AA85" si="302">YIELD(DATE(2001,1,1),DATE(2020,12,31),1/AA84,100,0.01,1)</f>
        <v>9.4236195635553716E-2</v>
      </c>
      <c r="AB85" s="250"/>
      <c r="AC85" s="107">
        <f>YIELD(DATE(2001,1,1),DATE(2020,12,31),1/AC84,100,0.01,1)</f>
        <v>6.59127938020483E-2</v>
      </c>
      <c r="AD85" s="107">
        <f t="shared" ref="AD85" si="303">YIELD(DATE(2001,1,1),DATE(2020,12,31),1/AD84,100,0.01,1)</f>
        <v>7.4016784796710658E-2</v>
      </c>
      <c r="AE85" s="107">
        <f t="shared" ref="AE85" si="304">YIELD(DATE(2001,1,1),DATE(2020,12,31),1/AE84,100,0.01,1)</f>
        <v>7.444283432249181E-2</v>
      </c>
      <c r="AF85" s="107">
        <f t="shared" ref="AF85" si="305">YIELD(DATE(2001,1,1),DATE(2020,12,31),1/AF84,100,0.01,1)</f>
        <v>7.2061517925835872E-2</v>
      </c>
      <c r="AG85" s="107">
        <f t="shared" ref="AG85" si="306">YIELD(DATE(2001,1,1),DATE(2020,12,31),1/AG84,100,0.01,1)</f>
        <v>6.851752150917928E-2</v>
      </c>
      <c r="AH85" s="250"/>
      <c r="AI85" s="77" t="s">
        <v>62</v>
      </c>
      <c r="AJ85" s="52"/>
      <c r="AK85" t="s">
        <v>75</v>
      </c>
    </row>
    <row r="86" spans="1:37" x14ac:dyDescent="0.4">
      <c r="B86" s="117"/>
      <c r="C86" s="52"/>
      <c r="D86" s="52"/>
      <c r="E86" s="116"/>
      <c r="F86" s="116"/>
      <c r="G86" s="116"/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6"/>
      <c r="S86" s="116"/>
      <c r="T86" s="116"/>
      <c r="U86" s="116"/>
      <c r="V86" s="116"/>
      <c r="W86" s="116"/>
      <c r="X86" s="116"/>
      <c r="Y86" s="116"/>
      <c r="Z86" s="116"/>
      <c r="AA86" s="116"/>
      <c r="AB86" s="116"/>
      <c r="AC86" s="116"/>
      <c r="AD86" s="116"/>
      <c r="AE86" s="116"/>
      <c r="AF86" s="116"/>
      <c r="AG86" s="116"/>
      <c r="AH86" s="116"/>
      <c r="AI86" s="52"/>
      <c r="AJ86" s="52"/>
    </row>
    <row r="87" spans="1:37" s="5" customFormat="1" ht="15.9" x14ac:dyDescent="0.45">
      <c r="B87" s="83" t="s">
        <v>108</v>
      </c>
      <c r="C87" s="155" t="s">
        <v>109</v>
      </c>
      <c r="D87" s="156"/>
      <c r="E87" s="157"/>
      <c r="F87" s="157"/>
      <c r="G87" s="157"/>
      <c r="H87" s="157"/>
      <c r="I87" s="157"/>
      <c r="J87" s="252"/>
      <c r="K87" s="157"/>
      <c r="L87" s="157"/>
      <c r="M87" s="157"/>
      <c r="N87" s="157"/>
      <c r="O87" s="157"/>
      <c r="P87" s="252"/>
      <c r="Q87" s="157"/>
      <c r="R87" s="157"/>
      <c r="S87" s="157"/>
      <c r="T87" s="157"/>
      <c r="U87" s="157"/>
      <c r="V87" s="252"/>
      <c r="W87" s="157"/>
      <c r="X87" s="157"/>
      <c r="Y87" s="157"/>
      <c r="Z87" s="157"/>
      <c r="AA87" s="157"/>
      <c r="AB87" s="252"/>
      <c r="AC87" s="157"/>
      <c r="AD87" s="157"/>
      <c r="AE87" s="157"/>
      <c r="AF87" s="157"/>
      <c r="AG87" s="157"/>
      <c r="AH87" s="252"/>
      <c r="AI87" s="158"/>
      <c r="AJ87" s="52"/>
      <c r="AK87"/>
    </row>
    <row r="88" spans="1:37" s="5" customFormat="1" ht="15.9" x14ac:dyDescent="0.45">
      <c r="B88" s="84"/>
      <c r="C88" s="155" t="s">
        <v>110</v>
      </c>
      <c r="D88" s="155"/>
      <c r="E88" s="157"/>
      <c r="F88" s="157"/>
      <c r="G88" s="157"/>
      <c r="H88" s="157"/>
      <c r="I88" s="157"/>
      <c r="J88" s="252"/>
      <c r="K88" s="157"/>
      <c r="L88" s="157"/>
      <c r="M88" s="157"/>
      <c r="N88" s="157"/>
      <c r="O88" s="157"/>
      <c r="P88" s="252"/>
      <c r="Q88" s="157"/>
      <c r="R88" s="157"/>
      <c r="S88" s="157"/>
      <c r="T88" s="157"/>
      <c r="U88" s="157"/>
      <c r="V88" s="252"/>
      <c r="W88" s="157"/>
      <c r="X88" s="157"/>
      <c r="Y88" s="157"/>
      <c r="Z88" s="157"/>
      <c r="AA88" s="157"/>
      <c r="AB88" s="252"/>
      <c r="AC88" s="157"/>
      <c r="AD88" s="157"/>
      <c r="AE88" s="157"/>
      <c r="AF88" s="157"/>
      <c r="AG88" s="157"/>
      <c r="AH88" s="252"/>
      <c r="AI88" s="158"/>
      <c r="AJ88" s="52"/>
      <c r="AK88"/>
    </row>
    <row r="89" spans="1:37" s="5" customFormat="1" ht="15.9" x14ac:dyDescent="0.45">
      <c r="B89" s="14"/>
      <c r="C89" s="52"/>
      <c r="D89" s="52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9"/>
      <c r="Y89" s="159"/>
      <c r="Z89" s="159"/>
      <c r="AA89" s="159"/>
      <c r="AB89" s="159"/>
      <c r="AC89" s="159"/>
      <c r="AD89" s="159"/>
      <c r="AE89" s="159"/>
      <c r="AF89" s="159"/>
      <c r="AG89" s="159"/>
      <c r="AH89" s="159"/>
      <c r="AI89" s="52"/>
      <c r="AJ89" s="52"/>
      <c r="AK89"/>
    </row>
    <row r="90" spans="1:37" s="58" customFormat="1" ht="20.6" x14ac:dyDescent="0.55000000000000004">
      <c r="A90" s="56" t="s">
        <v>104</v>
      </c>
      <c r="B90" s="57"/>
      <c r="C90" s="160"/>
      <c r="D90" s="160"/>
      <c r="E90" s="161"/>
      <c r="F90" s="161"/>
      <c r="G90" s="161"/>
      <c r="H90" s="161"/>
      <c r="I90" s="161"/>
      <c r="J90" s="159"/>
      <c r="K90" s="161"/>
      <c r="L90" s="161"/>
      <c r="M90" s="161"/>
      <c r="N90" s="161"/>
      <c r="O90" s="161"/>
      <c r="P90" s="159"/>
      <c r="Q90" s="161"/>
      <c r="R90" s="161"/>
      <c r="S90" s="161"/>
      <c r="T90" s="161"/>
      <c r="U90" s="161"/>
      <c r="V90" s="159"/>
      <c r="W90" s="161"/>
      <c r="X90" s="161"/>
      <c r="Y90" s="161"/>
      <c r="Z90" s="161"/>
      <c r="AA90" s="161"/>
      <c r="AB90" s="159"/>
      <c r="AC90" s="161"/>
      <c r="AD90" s="161"/>
      <c r="AE90" s="161"/>
      <c r="AF90" s="161"/>
      <c r="AG90" s="161"/>
      <c r="AH90" s="159"/>
      <c r="AI90" s="160"/>
      <c r="AJ90" s="160"/>
      <c r="AK90" s="189"/>
    </row>
    <row r="91" spans="1:37" s="50" customFormat="1" ht="16.3" thickBot="1" x14ac:dyDescent="0.5">
      <c r="B91" s="78" t="s">
        <v>70</v>
      </c>
      <c r="C91" s="162"/>
      <c r="D91" s="163"/>
      <c r="E91" s="164">
        <f t="shared" ref="E91:I91" si="307">E24/E7</f>
        <v>2227.2727272727275</v>
      </c>
      <c r="F91" s="164">
        <f t="shared" si="307"/>
        <v>2977.2727272727275</v>
      </c>
      <c r="G91" s="164">
        <f t="shared" si="307"/>
        <v>3727.2727272727275</v>
      </c>
      <c r="H91" s="164">
        <f t="shared" si="307"/>
        <v>4477.272727272727</v>
      </c>
      <c r="I91" s="164">
        <f t="shared" si="307"/>
        <v>5227.272727272727</v>
      </c>
      <c r="J91" s="253"/>
      <c r="K91" s="164">
        <f t="shared" ref="K91:O91" si="308">K24/K7</f>
        <v>2568.181818181818</v>
      </c>
      <c r="L91" s="164">
        <f t="shared" si="308"/>
        <v>3318.181818181818</v>
      </c>
      <c r="M91" s="164">
        <f t="shared" si="308"/>
        <v>4068.181818181818</v>
      </c>
      <c r="N91" s="164">
        <f t="shared" si="308"/>
        <v>4818.181818181818</v>
      </c>
      <c r="O91" s="164">
        <f t="shared" si="308"/>
        <v>5568.181818181818</v>
      </c>
      <c r="P91" s="253"/>
      <c r="Q91" s="164">
        <f t="shared" ref="Q91:U91" si="309">Q24/Q7</f>
        <v>2909.090909090909</v>
      </c>
      <c r="R91" s="164">
        <f t="shared" si="309"/>
        <v>3659.090909090909</v>
      </c>
      <c r="S91" s="164">
        <f t="shared" si="309"/>
        <v>4409.090909090909</v>
      </c>
      <c r="T91" s="164">
        <f t="shared" si="309"/>
        <v>5159.090909090909</v>
      </c>
      <c r="U91" s="164">
        <f t="shared" si="309"/>
        <v>5909.090909090909</v>
      </c>
      <c r="V91" s="253"/>
      <c r="W91" s="164">
        <f t="shared" ref="W91:AA91" si="310">W24/W7</f>
        <v>3590.909090909091</v>
      </c>
      <c r="X91" s="164">
        <f t="shared" si="310"/>
        <v>4340.909090909091</v>
      </c>
      <c r="Y91" s="164">
        <f t="shared" si="310"/>
        <v>5090.909090909091</v>
      </c>
      <c r="Z91" s="164">
        <f t="shared" si="310"/>
        <v>5840.909090909091</v>
      </c>
      <c r="AA91" s="164">
        <f t="shared" si="310"/>
        <v>6590.909090909091</v>
      </c>
      <c r="AB91" s="253"/>
      <c r="AC91" s="164">
        <f t="shared" ref="AC91:AG91" si="311">AC24/AC7</f>
        <v>4954.545454545455</v>
      </c>
      <c r="AD91" s="164">
        <f t="shared" si="311"/>
        <v>5704.545454545455</v>
      </c>
      <c r="AE91" s="164">
        <f t="shared" si="311"/>
        <v>6454.545454545455</v>
      </c>
      <c r="AF91" s="164">
        <f t="shared" si="311"/>
        <v>7204.545454545455</v>
      </c>
      <c r="AG91" s="164">
        <f t="shared" si="311"/>
        <v>7954.545454545455</v>
      </c>
      <c r="AH91" s="253"/>
      <c r="AI91" s="165" t="s">
        <v>73</v>
      </c>
      <c r="AJ91" s="190"/>
      <c r="AK91" s="190"/>
    </row>
    <row r="92" spans="1:37" s="5" customFormat="1" ht="16.3" thickBot="1" x14ac:dyDescent="0.5">
      <c r="B92" s="82" t="s">
        <v>71</v>
      </c>
      <c r="C92" s="130">
        <v>20</v>
      </c>
      <c r="D92" s="166" t="s">
        <v>44</v>
      </c>
      <c r="E92" s="167">
        <f>E91/$C92/12</f>
        <v>9.2803030303030312</v>
      </c>
      <c r="F92" s="167">
        <f t="shared" ref="F92:I92" si="312">F91/$C92/12</f>
        <v>12.405303030303031</v>
      </c>
      <c r="G92" s="167">
        <f t="shared" si="312"/>
        <v>15.530303030303031</v>
      </c>
      <c r="H92" s="167">
        <f t="shared" si="312"/>
        <v>18.655303030303028</v>
      </c>
      <c r="I92" s="167">
        <f t="shared" si="312"/>
        <v>21.780303030303031</v>
      </c>
      <c r="J92" s="254"/>
      <c r="K92" s="167">
        <f>K91/$C92/12</f>
        <v>10.700757575757576</v>
      </c>
      <c r="L92" s="167">
        <f t="shared" ref="L92" si="313">L91/$C92/12</f>
        <v>13.825757575757576</v>
      </c>
      <c r="M92" s="167">
        <f t="shared" ref="M92" si="314">M91/$C92/12</f>
        <v>16.950757575757574</v>
      </c>
      <c r="N92" s="167">
        <f t="shared" ref="N92" si="315">N91/$C92/12</f>
        <v>20.075757575757574</v>
      </c>
      <c r="O92" s="167">
        <f t="shared" ref="O92" si="316">O91/$C92/12</f>
        <v>23.200757575757574</v>
      </c>
      <c r="P92" s="254"/>
      <c r="Q92" s="167">
        <f>Q91/$C92/12</f>
        <v>12.121212121212119</v>
      </c>
      <c r="R92" s="167">
        <f t="shared" ref="R92" si="317">R91/$C92/12</f>
        <v>15.246212121212119</v>
      </c>
      <c r="S92" s="167">
        <f t="shared" ref="S92" si="318">S91/$C92/12</f>
        <v>18.371212121212121</v>
      </c>
      <c r="T92" s="167">
        <f t="shared" ref="T92" si="319">T91/$C92/12</f>
        <v>21.496212121212121</v>
      </c>
      <c r="U92" s="167">
        <f t="shared" ref="U92" si="320">U91/$C92/12</f>
        <v>24.621212121212121</v>
      </c>
      <c r="V92" s="254"/>
      <c r="W92" s="167">
        <f>W91/$C92/12</f>
        <v>14.962121212121213</v>
      </c>
      <c r="X92" s="167">
        <f t="shared" ref="X92" si="321">X91/$C92/12</f>
        <v>18.087121212121215</v>
      </c>
      <c r="Y92" s="167">
        <f t="shared" ref="Y92" si="322">Y91/$C92/12</f>
        <v>21.212121212121215</v>
      </c>
      <c r="Z92" s="167">
        <f t="shared" ref="Z92" si="323">Z91/$C92/12</f>
        <v>24.337121212121215</v>
      </c>
      <c r="AA92" s="167">
        <f t="shared" ref="AA92" si="324">AA91/$C92/12</f>
        <v>27.462121212121215</v>
      </c>
      <c r="AB92" s="254"/>
      <c r="AC92" s="167">
        <f>AC91/$C92/12</f>
        <v>20.643939393939394</v>
      </c>
      <c r="AD92" s="167">
        <f t="shared" ref="AD92" si="325">AD91/$C92/12</f>
        <v>23.768939393939394</v>
      </c>
      <c r="AE92" s="167">
        <f t="shared" ref="AE92" si="326">AE91/$C92/12</f>
        <v>26.893939393939394</v>
      </c>
      <c r="AF92" s="167">
        <f t="shared" ref="AF92" si="327">AF91/$C92/12</f>
        <v>30.018939393939394</v>
      </c>
      <c r="AG92" s="167">
        <f t="shared" ref="AG92" si="328">AG91/$C92/12</f>
        <v>33.143939393939398</v>
      </c>
      <c r="AH92" s="254"/>
      <c r="AI92" s="168" t="s">
        <v>74</v>
      </c>
      <c r="AJ92"/>
      <c r="AK92"/>
    </row>
    <row r="93" spans="1:37" s="5" customFormat="1" ht="16.3" thickBot="1" x14ac:dyDescent="0.5">
      <c r="B93" s="82" t="s">
        <v>105</v>
      </c>
      <c r="C93" s="169">
        <v>0.06</v>
      </c>
      <c r="D93" s="166" t="s">
        <v>69</v>
      </c>
      <c r="E93" s="170"/>
      <c r="F93" s="170"/>
      <c r="G93" s="170"/>
      <c r="H93" s="170"/>
      <c r="I93" s="170"/>
      <c r="J93" s="255"/>
      <c r="K93" s="170"/>
      <c r="L93" s="170"/>
      <c r="M93" s="170"/>
      <c r="N93" s="170"/>
      <c r="O93" s="170"/>
      <c r="P93" s="255"/>
      <c r="Q93" s="170"/>
      <c r="R93" s="170"/>
      <c r="S93" s="170"/>
      <c r="T93" s="170"/>
      <c r="U93" s="170"/>
      <c r="V93" s="255"/>
      <c r="W93" s="170"/>
      <c r="X93" s="170"/>
      <c r="Y93" s="170"/>
      <c r="Z93" s="170"/>
      <c r="AA93" s="170"/>
      <c r="AB93" s="255"/>
      <c r="AC93" s="170"/>
      <c r="AD93" s="170"/>
      <c r="AE93" s="170"/>
      <c r="AF93" s="170"/>
      <c r="AG93" s="170"/>
      <c r="AH93" s="255"/>
      <c r="AI93" s="171"/>
      <c r="AJ93"/>
      <c r="AK93" t="s">
        <v>100</v>
      </c>
    </row>
    <row r="94" spans="1:37" s="5" customFormat="1" ht="15.9" x14ac:dyDescent="0.45">
      <c r="B94" s="98" t="s">
        <v>85</v>
      </c>
      <c r="C94" s="172"/>
      <c r="D94" s="170"/>
      <c r="E94" s="173">
        <f t="shared" ref="E94:I94" si="329">IF(E85&lt;$C93,"Nicht möglich",NPER($C93,E82,-E24,0,0))</f>
        <v>6.9197210214753797</v>
      </c>
      <c r="F94" s="173">
        <f t="shared" si="329"/>
        <v>8.1725526966627839</v>
      </c>
      <c r="G94" s="173">
        <f t="shared" si="329"/>
        <v>9.4556866045573251</v>
      </c>
      <c r="H94" s="173">
        <f t="shared" si="329"/>
        <v>10.709082150776377</v>
      </c>
      <c r="I94" s="173">
        <f t="shared" si="329"/>
        <v>12.03513403202839</v>
      </c>
      <c r="J94" s="256"/>
      <c r="K94" s="173">
        <f t="shared" ref="K94:O94" si="330">IF(K85&lt;$C93,"Nicht möglich",NPER($C93,K82,-K24,0,0))</f>
        <v>7.6138278452977719</v>
      </c>
      <c r="L94" s="173">
        <f t="shared" si="330"/>
        <v>8.5481822043939051</v>
      </c>
      <c r="M94" s="173">
        <f t="shared" si="330"/>
        <v>9.6316869319367022</v>
      </c>
      <c r="N94" s="173">
        <f t="shared" si="330"/>
        <v>10.743454722240394</v>
      </c>
      <c r="O94" s="173">
        <f t="shared" si="330"/>
        <v>11.916933020003915</v>
      </c>
      <c r="P94" s="256"/>
      <c r="Q94" s="173">
        <f t="shared" ref="Q94:U94" si="331">IF(Q85&lt;$C93,"Nicht möglich",NPER($C93,Q82,-Q24,0,0))</f>
        <v>8.5409594045691755</v>
      </c>
      <c r="R94" s="173">
        <f t="shared" si="331"/>
        <v>9.1297687731564068</v>
      </c>
      <c r="S94" s="173">
        <f t="shared" si="331"/>
        <v>10.00991672817721</v>
      </c>
      <c r="T94" s="173">
        <f t="shared" si="331"/>
        <v>10.9676575979663</v>
      </c>
      <c r="U94" s="173">
        <f t="shared" si="331"/>
        <v>12.02119012967651</v>
      </c>
      <c r="V94" s="256"/>
      <c r="W94" s="173">
        <f t="shared" ref="W94:AA94" si="332">IF(W85&lt;$C93,"Nicht möglich",NPER($C93,W82,-W24,0,0))</f>
        <v>10.905956679756418</v>
      </c>
      <c r="X94" s="173">
        <f t="shared" si="332"/>
        <v>10.835077617348094</v>
      </c>
      <c r="Y94" s="173">
        <f t="shared" si="332"/>
        <v>11.383043665770785</v>
      </c>
      <c r="Z94" s="173">
        <f t="shared" si="332"/>
        <v>12.130502997124788</v>
      </c>
      <c r="AA94" s="173">
        <f t="shared" si="332"/>
        <v>13.014124753060335</v>
      </c>
      <c r="AB94" s="256"/>
      <c r="AC94" s="173">
        <f t="shared" ref="AC94:AG94" si="333">IF(AC85&lt;$C93,"Nicht möglich",NPER($C93,AC82,-AC24,0,0))</f>
        <v>18.329166278048756</v>
      </c>
      <c r="AD94" s="173">
        <f t="shared" si="333"/>
        <v>16.436541440914496</v>
      </c>
      <c r="AE94" s="173">
        <f t="shared" si="333"/>
        <v>16.347327888668268</v>
      </c>
      <c r="AF94" s="173">
        <f t="shared" si="333"/>
        <v>16.858087888203517</v>
      </c>
      <c r="AG94" s="173">
        <f t="shared" si="333"/>
        <v>17.676997521764356</v>
      </c>
      <c r="AH94" s="256"/>
      <c r="AI94" s="174" t="s">
        <v>1</v>
      </c>
      <c r="AJ94"/>
      <c r="AK94"/>
    </row>
    <row r="95" spans="1:37" s="5" customFormat="1" ht="15.9" x14ac:dyDescent="0.45">
      <c r="B95" s="98" t="s">
        <v>86</v>
      </c>
      <c r="C95" s="175"/>
      <c r="D95" s="170"/>
      <c r="E95" s="176">
        <f t="shared" ref="E95:I95" si="334">IF(E75&lt;$C93,"Nicht möglich",NPER($C93,E72,-E24,0,0))</f>
        <v>15.724671753162747</v>
      </c>
      <c r="F95" s="176">
        <f t="shared" si="334"/>
        <v>16.283697934653166</v>
      </c>
      <c r="G95" s="176">
        <f t="shared" si="334"/>
        <v>17.665713910283131</v>
      </c>
      <c r="H95" s="176">
        <f t="shared" si="334"/>
        <v>19.224402871102754</v>
      </c>
      <c r="I95" s="176" t="str">
        <f t="shared" si="334"/>
        <v>Nicht möglich</v>
      </c>
      <c r="J95" s="257"/>
      <c r="K95" s="176">
        <f t="shared" ref="K95:O95" si="335">IF(K75&lt;$C93,"Nicht möglich",NPER($C93,K72,-K24,0,0))</f>
        <v>16.436584630947149</v>
      </c>
      <c r="L95" s="176">
        <f t="shared" si="335"/>
        <v>16.069545943977005</v>
      </c>
      <c r="M95" s="176">
        <f t="shared" si="335"/>
        <v>16.997155056660066</v>
      </c>
      <c r="N95" s="176">
        <f t="shared" si="335"/>
        <v>18.266113224137836</v>
      </c>
      <c r="O95" s="176">
        <f t="shared" si="335"/>
        <v>19.853291751276561</v>
      </c>
      <c r="P95" s="257"/>
      <c r="Q95" s="176">
        <f t="shared" ref="Q95:U95" si="336">IF(Q75&lt;$C93,"Nicht möglich",NPER($C93,Q72,-Q24,0,0))</f>
        <v>18.421285987083763</v>
      </c>
      <c r="R95" s="176">
        <f t="shared" si="336"/>
        <v>16.761405688067413</v>
      </c>
      <c r="S95" s="176">
        <f t="shared" si="336"/>
        <v>17.153910933728</v>
      </c>
      <c r="T95" s="176">
        <f t="shared" si="336"/>
        <v>18.064569399557868</v>
      </c>
      <c r="U95" s="176">
        <f t="shared" si="336"/>
        <v>19.376787419748727</v>
      </c>
      <c r="V95" s="257"/>
      <c r="W95" s="176" t="str">
        <f t="shared" ref="W95:AA95" si="337">IF(W75&lt;$C93,"Nicht möglich",NPER($C93,W72,-W24,0,0))</f>
        <v>Nicht möglich</v>
      </c>
      <c r="X95" s="176" t="str">
        <f t="shared" si="337"/>
        <v>Nicht möglich</v>
      </c>
      <c r="Y95" s="176">
        <f t="shared" si="337"/>
        <v>19.488971546471021</v>
      </c>
      <c r="Z95" s="176">
        <f t="shared" si="337"/>
        <v>19.832437822582047</v>
      </c>
      <c r="AA95" s="176" t="str">
        <f t="shared" si="337"/>
        <v>Nicht möglich</v>
      </c>
      <c r="AB95" s="257"/>
      <c r="AC95" s="176" t="str">
        <f t="shared" ref="AC95:AG95" si="338">IF(AC75&lt;$C93,"Nicht möglich",NPER($C93,AC72,-AC24,0,0))</f>
        <v>Nicht möglich</v>
      </c>
      <c r="AD95" s="176" t="str">
        <f t="shared" si="338"/>
        <v>Nicht möglich</v>
      </c>
      <c r="AE95" s="176" t="str">
        <f t="shared" si="338"/>
        <v>Nicht möglich</v>
      </c>
      <c r="AF95" s="176" t="str">
        <f t="shared" si="338"/>
        <v>Nicht möglich</v>
      </c>
      <c r="AG95" s="176" t="str">
        <f t="shared" si="338"/>
        <v>Nicht möglich</v>
      </c>
      <c r="AH95" s="257"/>
      <c r="AI95" s="174" t="s">
        <v>1</v>
      </c>
      <c r="AJ95"/>
      <c r="AK95"/>
    </row>
    <row r="96" spans="1:37" s="5" customFormat="1" ht="15.9" x14ac:dyDescent="0.45">
      <c r="B96" s="14"/>
      <c r="C96" s="52"/>
      <c r="D96" s="52"/>
      <c r="E96" s="159"/>
      <c r="F96" s="159"/>
      <c r="G96" s="159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9"/>
      <c r="Y96" s="159"/>
      <c r="Z96" s="159"/>
      <c r="AA96" s="159"/>
      <c r="AB96" s="159"/>
      <c r="AC96" s="159"/>
      <c r="AD96" s="159"/>
      <c r="AE96" s="159"/>
      <c r="AF96" s="159"/>
      <c r="AG96" s="159"/>
      <c r="AH96" s="159"/>
      <c r="AI96" s="52"/>
      <c r="AJ96" s="52"/>
      <c r="AK96"/>
    </row>
    <row r="97" spans="1:37" s="55" customFormat="1" ht="18.45" x14ac:dyDescent="0.5">
      <c r="A97" s="55" t="s">
        <v>51</v>
      </c>
      <c r="C97" s="177"/>
      <c r="D97" s="177"/>
      <c r="E97" s="177"/>
      <c r="F97" s="177"/>
      <c r="G97" s="177"/>
      <c r="H97" s="177"/>
      <c r="I97" s="177"/>
      <c r="J97"/>
      <c r="K97" s="177"/>
      <c r="L97" s="177"/>
      <c r="M97" s="177"/>
      <c r="N97" s="177"/>
      <c r="O97" s="177"/>
      <c r="P97"/>
      <c r="Q97" s="177"/>
      <c r="R97" s="177"/>
      <c r="S97" s="177"/>
      <c r="T97" s="177"/>
      <c r="U97" s="177"/>
      <c r="V97"/>
      <c r="W97" s="177"/>
      <c r="X97" s="177"/>
      <c r="Y97" s="177"/>
      <c r="Z97" s="177"/>
      <c r="AA97" s="177"/>
      <c r="AB97"/>
      <c r="AC97" s="177"/>
      <c r="AD97" s="177"/>
      <c r="AE97" s="177"/>
      <c r="AF97" s="177"/>
      <c r="AG97" s="177"/>
      <c r="AH97"/>
      <c r="AI97" s="177"/>
      <c r="AJ97" s="177"/>
      <c r="AK97" s="177"/>
    </row>
    <row r="98" spans="1:37" s="52" customFormat="1" x14ac:dyDescent="0.4">
      <c r="B98" s="110" t="s">
        <v>156</v>
      </c>
      <c r="C98" s="111"/>
      <c r="D98" s="112"/>
      <c r="E98" s="94">
        <f t="shared" ref="E98:I98" si="339">E42</f>
        <v>9004.5732000000007</v>
      </c>
      <c r="F98" s="94">
        <f t="shared" si="339"/>
        <v>10413.222749999999</v>
      </c>
      <c r="G98" s="94">
        <f t="shared" si="339"/>
        <v>11269.196399999999</v>
      </c>
      <c r="H98" s="94">
        <f t="shared" si="339"/>
        <v>11862.312</v>
      </c>
      <c r="I98" s="94">
        <f t="shared" si="339"/>
        <v>12293.668799999999</v>
      </c>
      <c r="J98" s="258"/>
      <c r="K98" s="94">
        <f t="shared" ref="K98:O98" si="340">K42</f>
        <v>10419.9627</v>
      </c>
      <c r="L98" s="94">
        <f t="shared" si="340"/>
        <v>12233.009249999999</v>
      </c>
      <c r="M98" s="94">
        <f t="shared" si="340"/>
        <v>13291.181399999999</v>
      </c>
      <c r="N98" s="94">
        <f t="shared" si="340"/>
        <v>13985.39625</v>
      </c>
      <c r="O98" s="94">
        <f t="shared" si="340"/>
        <v>14517.852299999999</v>
      </c>
      <c r="P98" s="258"/>
      <c r="Q98" s="94">
        <f t="shared" ref="Q98:U98" si="341">Q42</f>
        <v>11242.236599999998</v>
      </c>
      <c r="R98" s="94">
        <f t="shared" si="341"/>
        <v>13506.8598</v>
      </c>
      <c r="S98" s="94">
        <f t="shared" si="341"/>
        <v>14827.890000000001</v>
      </c>
      <c r="T98" s="94">
        <f t="shared" si="341"/>
        <v>15704.083500000001</v>
      </c>
      <c r="U98" s="94">
        <f t="shared" si="341"/>
        <v>16337.638800000001</v>
      </c>
      <c r="V98" s="258"/>
      <c r="W98" s="94">
        <f t="shared" ref="W98:AA98" si="342">W42</f>
        <v>12037.5507</v>
      </c>
      <c r="X98" s="94">
        <f t="shared" si="342"/>
        <v>14841.369899999998</v>
      </c>
      <c r="Y98" s="94">
        <f t="shared" si="342"/>
        <v>16499.3976</v>
      </c>
      <c r="Z98" s="94">
        <f t="shared" si="342"/>
        <v>17591.269500000002</v>
      </c>
      <c r="AA98" s="94">
        <f t="shared" si="342"/>
        <v>18400.0635</v>
      </c>
      <c r="AB98" s="258"/>
      <c r="AC98" s="94">
        <f t="shared" ref="AC98:AG98" si="343">AC42</f>
        <v>12118.4301</v>
      </c>
      <c r="AD98" s="94">
        <f t="shared" si="343"/>
        <v>15124.447799999998</v>
      </c>
      <c r="AE98" s="94">
        <f t="shared" si="343"/>
        <v>16849.875</v>
      </c>
      <c r="AF98" s="94">
        <f t="shared" si="343"/>
        <v>17894.56725</v>
      </c>
      <c r="AG98" s="94">
        <f t="shared" si="343"/>
        <v>18642.701699999998</v>
      </c>
      <c r="AH98" s="258"/>
      <c r="AI98" s="79" t="s">
        <v>5</v>
      </c>
      <c r="AK98" t="s">
        <v>36</v>
      </c>
    </row>
    <row r="99" spans="1:37" x14ac:dyDescent="0.4">
      <c r="B99" s="114" t="s">
        <v>46</v>
      </c>
      <c r="C99" s="178">
        <v>106</v>
      </c>
      <c r="D99" s="179" t="s">
        <v>42</v>
      </c>
      <c r="E99" s="144">
        <f t="shared" ref="E99:I99" si="344">E14*$C99/20</f>
        <v>0</v>
      </c>
      <c r="F99" s="144">
        <f t="shared" si="344"/>
        <v>0</v>
      </c>
      <c r="G99" s="144">
        <f t="shared" si="344"/>
        <v>0</v>
      </c>
      <c r="H99" s="144">
        <f t="shared" si="344"/>
        <v>0</v>
      </c>
      <c r="I99" s="144">
        <f t="shared" si="344"/>
        <v>0</v>
      </c>
      <c r="J99" s="144"/>
      <c r="K99" s="144">
        <f t="shared" ref="K99:O99" si="345">K14*$C99/20</f>
        <v>39.75</v>
      </c>
      <c r="L99" s="144">
        <f t="shared" si="345"/>
        <v>39.75</v>
      </c>
      <c r="M99" s="144">
        <f t="shared" si="345"/>
        <v>39.75</v>
      </c>
      <c r="N99" s="144">
        <f t="shared" si="345"/>
        <v>39.75</v>
      </c>
      <c r="O99" s="144">
        <f t="shared" si="345"/>
        <v>39.75</v>
      </c>
      <c r="P99" s="144"/>
      <c r="Q99" s="144">
        <f t="shared" ref="Q99:U99" si="346">Q14*$C99/20</f>
        <v>79.5</v>
      </c>
      <c r="R99" s="144">
        <f t="shared" si="346"/>
        <v>79.5</v>
      </c>
      <c r="S99" s="144">
        <f t="shared" si="346"/>
        <v>79.5</v>
      </c>
      <c r="T99" s="144">
        <f t="shared" si="346"/>
        <v>79.5</v>
      </c>
      <c r="U99" s="144">
        <f t="shared" si="346"/>
        <v>79.5</v>
      </c>
      <c r="V99" s="144"/>
      <c r="W99" s="144">
        <f t="shared" ref="W99:AA99" si="347">W14*$C99/20</f>
        <v>159</v>
      </c>
      <c r="X99" s="144">
        <f t="shared" si="347"/>
        <v>159</v>
      </c>
      <c r="Y99" s="144">
        <f t="shared" si="347"/>
        <v>159</v>
      </c>
      <c r="Z99" s="144">
        <f t="shared" si="347"/>
        <v>159</v>
      </c>
      <c r="AA99" s="144">
        <f t="shared" si="347"/>
        <v>159</v>
      </c>
      <c r="AB99" s="144"/>
      <c r="AC99" s="144">
        <f t="shared" ref="AC99:AG99" si="348">AC14*$C99/20</f>
        <v>318</v>
      </c>
      <c r="AD99" s="144">
        <f t="shared" si="348"/>
        <v>318</v>
      </c>
      <c r="AE99" s="144">
        <f t="shared" si="348"/>
        <v>318</v>
      </c>
      <c r="AF99" s="144">
        <f t="shared" si="348"/>
        <v>318</v>
      </c>
      <c r="AG99" s="144">
        <f t="shared" si="348"/>
        <v>318</v>
      </c>
      <c r="AH99" s="144"/>
      <c r="AI99" t="s">
        <v>47</v>
      </c>
      <c r="AK99" s="28" t="s">
        <v>41</v>
      </c>
    </row>
    <row r="100" spans="1:37" ht="15.9" x14ac:dyDescent="0.45">
      <c r="B100" s="113" t="s">
        <v>12</v>
      </c>
      <c r="C100" s="180">
        <v>0.68400000000000005</v>
      </c>
      <c r="D100" s="181" t="s">
        <v>42</v>
      </c>
      <c r="E100" s="94">
        <f>E98*$C100-E99</f>
        <v>6159.1280688000006</v>
      </c>
      <c r="F100" s="94">
        <f t="shared" ref="F100:I100" si="349">F98*$C100-F99</f>
        <v>7122.6443609999997</v>
      </c>
      <c r="G100" s="94">
        <f t="shared" si="349"/>
        <v>7708.1303375999996</v>
      </c>
      <c r="H100" s="94">
        <f t="shared" si="349"/>
        <v>8113.8214080000007</v>
      </c>
      <c r="I100" s="94">
        <f t="shared" si="349"/>
        <v>8408.8694592000011</v>
      </c>
      <c r="J100" s="258"/>
      <c r="K100" s="94">
        <f>K98*$C100-K99</f>
        <v>7087.5044868000004</v>
      </c>
      <c r="L100" s="94">
        <f t="shared" ref="L100" si="350">L98*$C100-L99</f>
        <v>8327.6283270000004</v>
      </c>
      <c r="M100" s="94">
        <f t="shared" ref="M100" si="351">M98*$C100-M99</f>
        <v>9051.4180776000012</v>
      </c>
      <c r="N100" s="94">
        <f t="shared" ref="N100" si="352">N98*$C100-N99</f>
        <v>9526.2610350000014</v>
      </c>
      <c r="O100" s="94">
        <f t="shared" ref="O100" si="353">O98*$C100-O99</f>
        <v>9890.460973199999</v>
      </c>
      <c r="P100" s="258"/>
      <c r="Q100" s="94">
        <f>Q98*$C100-Q99</f>
        <v>7610.1898343999992</v>
      </c>
      <c r="R100" s="94">
        <f t="shared" ref="R100" si="354">R98*$C100-R99</f>
        <v>9159.1921032000009</v>
      </c>
      <c r="S100" s="94">
        <f t="shared" ref="S100" si="355">S98*$C100-S99</f>
        <v>10062.776760000002</v>
      </c>
      <c r="T100" s="94">
        <f t="shared" ref="T100" si="356">T98*$C100-T99</f>
        <v>10662.093114000001</v>
      </c>
      <c r="U100" s="94">
        <f t="shared" ref="U100" si="357">U98*$C100-U99</f>
        <v>11095.444939200001</v>
      </c>
      <c r="V100" s="258"/>
      <c r="W100" s="94">
        <f>W98*$C100-W99</f>
        <v>8074.6846788000003</v>
      </c>
      <c r="X100" s="94">
        <f t="shared" ref="X100" si="358">X98*$C100-X99</f>
        <v>9992.4970115999986</v>
      </c>
      <c r="Y100" s="94">
        <f t="shared" ref="Y100" si="359">Y98*$C100-Y99</f>
        <v>11126.587958400001</v>
      </c>
      <c r="Z100" s="94">
        <f t="shared" ref="Z100" si="360">Z98*$C100-Z99</f>
        <v>11873.428338000002</v>
      </c>
      <c r="AA100" s="94">
        <f t="shared" ref="AA100" si="361">AA98*$C100-AA99</f>
        <v>12426.643434000001</v>
      </c>
      <c r="AB100" s="258"/>
      <c r="AC100" s="94">
        <f>AC98*$C100-AC99</f>
        <v>7971.0061884000006</v>
      </c>
      <c r="AD100" s="94">
        <f t="shared" ref="AD100" si="362">AD98*$C100-AD99</f>
        <v>10027.122295199999</v>
      </c>
      <c r="AE100" s="94">
        <f t="shared" ref="AE100" si="363">AE98*$C100-AE99</f>
        <v>11207.3145</v>
      </c>
      <c r="AF100" s="94">
        <f t="shared" ref="AF100" si="364">AF98*$C100-AF99</f>
        <v>11921.883999000001</v>
      </c>
      <c r="AG100" s="94">
        <f t="shared" ref="AG100" si="365">AG98*$C100-AG99</f>
        <v>12433.607962799999</v>
      </c>
      <c r="AH100" s="258"/>
      <c r="AI100" s="80" t="s">
        <v>47</v>
      </c>
      <c r="AK100" s="191" t="s">
        <v>13</v>
      </c>
    </row>
    <row r="101" spans="1:37" s="5" customFormat="1" ht="15.9" x14ac:dyDescent="0.45">
      <c r="B101" s="97" t="s">
        <v>14</v>
      </c>
      <c r="C101" s="182">
        <f>10000/6000</f>
        <v>1.6666666666666667</v>
      </c>
      <c r="D101" s="183" t="s">
        <v>38</v>
      </c>
      <c r="E101" s="184">
        <f>E100*$C101</f>
        <v>10265.213448000002</v>
      </c>
      <c r="F101" s="184">
        <f t="shared" ref="F101:I101" si="366">F100*$C101</f>
        <v>11871.073935</v>
      </c>
      <c r="G101" s="184">
        <f t="shared" si="366"/>
        <v>12846.883895999999</v>
      </c>
      <c r="H101" s="184">
        <f t="shared" si="366"/>
        <v>13523.035680000001</v>
      </c>
      <c r="I101" s="184">
        <f t="shared" si="366"/>
        <v>14014.782432000002</v>
      </c>
      <c r="J101" s="259"/>
      <c r="K101" s="184">
        <f>K100*$C101</f>
        <v>11812.507478000001</v>
      </c>
      <c r="L101" s="184">
        <f t="shared" ref="L101" si="367">L100*$C101</f>
        <v>13879.380545000002</v>
      </c>
      <c r="M101" s="184">
        <f t="shared" ref="M101" si="368">M100*$C101</f>
        <v>15085.696796000002</v>
      </c>
      <c r="N101" s="184">
        <f t="shared" ref="N101" si="369">N100*$C101</f>
        <v>15877.101725000002</v>
      </c>
      <c r="O101" s="184">
        <f t="shared" ref="O101" si="370">O100*$C101</f>
        <v>16484.101621999998</v>
      </c>
      <c r="P101" s="259"/>
      <c r="Q101" s="184">
        <f>Q100*$C101</f>
        <v>12683.649723999999</v>
      </c>
      <c r="R101" s="184">
        <f t="shared" ref="R101" si="371">R100*$C101</f>
        <v>15265.320172000002</v>
      </c>
      <c r="S101" s="184">
        <f t="shared" ref="S101" si="372">S100*$C101</f>
        <v>16771.294600000005</v>
      </c>
      <c r="T101" s="184">
        <f t="shared" ref="T101" si="373">T100*$C101</f>
        <v>17770.155190000001</v>
      </c>
      <c r="U101" s="184">
        <f t="shared" ref="U101" si="374">U100*$C101</f>
        <v>18492.408232000002</v>
      </c>
      <c r="V101" s="259"/>
      <c r="W101" s="184">
        <f>W100*$C101</f>
        <v>13457.807798000002</v>
      </c>
      <c r="X101" s="184">
        <f t="shared" ref="X101" si="375">X100*$C101</f>
        <v>16654.161685999999</v>
      </c>
      <c r="Y101" s="184">
        <f t="shared" ref="Y101" si="376">Y100*$C101</f>
        <v>18544.313264000004</v>
      </c>
      <c r="Z101" s="184">
        <f t="shared" ref="Z101" si="377">Z100*$C101</f>
        <v>19789.047230000004</v>
      </c>
      <c r="AA101" s="184">
        <f t="shared" ref="AA101" si="378">AA100*$C101</f>
        <v>20711.072390000005</v>
      </c>
      <c r="AB101" s="259"/>
      <c r="AC101" s="184">
        <f>AC100*$C101</f>
        <v>13285.010314000001</v>
      </c>
      <c r="AD101" s="184">
        <f t="shared" ref="AD101" si="379">AD100*$C101</f>
        <v>16711.870491999998</v>
      </c>
      <c r="AE101" s="184">
        <f t="shared" ref="AE101" si="380">AE100*$C101</f>
        <v>18678.857500000002</v>
      </c>
      <c r="AF101" s="184">
        <f t="shared" ref="AF101" si="381">AF100*$C101</f>
        <v>19869.806665000004</v>
      </c>
      <c r="AG101" s="184">
        <f t="shared" ref="AG101" si="382">AG100*$C101</f>
        <v>20722.679937999997</v>
      </c>
      <c r="AH101" s="259"/>
      <c r="AI101" s="80" t="s">
        <v>48</v>
      </c>
      <c r="AJ101" s="52"/>
      <c r="AK101" s="191" t="s">
        <v>15</v>
      </c>
    </row>
    <row r="102" spans="1:37" s="5" customFormat="1" ht="15.9" x14ac:dyDescent="0.45">
      <c r="B102" s="97"/>
      <c r="C102" s="182">
        <v>7140</v>
      </c>
      <c r="D102" s="183" t="s">
        <v>63</v>
      </c>
      <c r="E102" s="185">
        <f>E101/$C102</f>
        <v>1.4377049647058826</v>
      </c>
      <c r="F102" s="185">
        <f t="shared" ref="F102:I102" si="383">F101/$C102</f>
        <v>1.6626153970588236</v>
      </c>
      <c r="G102" s="185">
        <f t="shared" si="383"/>
        <v>1.7992834588235294</v>
      </c>
      <c r="H102" s="185">
        <f t="shared" si="383"/>
        <v>1.8939825882352943</v>
      </c>
      <c r="I102" s="185">
        <f t="shared" si="383"/>
        <v>1.9628546823529414</v>
      </c>
      <c r="J102" s="249"/>
      <c r="K102" s="185">
        <f>K101/$C102</f>
        <v>1.654412812044818</v>
      </c>
      <c r="L102" s="185">
        <f t="shared" ref="L102" si="384">L101/$C102</f>
        <v>1.9438908326330535</v>
      </c>
      <c r="M102" s="185">
        <f t="shared" ref="M102" si="385">M101/$C102</f>
        <v>2.1128426885154066</v>
      </c>
      <c r="N102" s="185">
        <f t="shared" ref="N102" si="386">N101/$C102</f>
        <v>2.2236837149859947</v>
      </c>
      <c r="O102" s="185">
        <f t="shared" ref="O102" si="387">O101/$C102</f>
        <v>2.3086977061624649</v>
      </c>
      <c r="P102" s="249"/>
      <c r="Q102" s="185">
        <f>Q101/$C102</f>
        <v>1.7764215299719885</v>
      </c>
      <c r="R102" s="185">
        <f t="shared" ref="R102" si="388">R101/$C102</f>
        <v>2.138000024089636</v>
      </c>
      <c r="S102" s="185">
        <f t="shared" ref="S102" si="389">S101/$C102</f>
        <v>2.3489208123249306</v>
      </c>
      <c r="T102" s="185">
        <f t="shared" ref="T102" si="390">T101/$C102</f>
        <v>2.4888172535014008</v>
      </c>
      <c r="U102" s="185">
        <f t="shared" ref="U102" si="391">U101/$C102</f>
        <v>2.5899731417366949</v>
      </c>
      <c r="V102" s="249"/>
      <c r="W102" s="185">
        <f>W101/$C102</f>
        <v>1.8848470305322131</v>
      </c>
      <c r="X102" s="185">
        <f t="shared" ref="X102" si="392">X101/$C102</f>
        <v>2.3325156422969187</v>
      </c>
      <c r="Y102" s="185">
        <f t="shared" ref="Y102" si="393">Y101/$C102</f>
        <v>2.5972427540616252</v>
      </c>
      <c r="Z102" s="185">
        <f t="shared" ref="Z102" si="394">Z101/$C102</f>
        <v>2.7715752422969193</v>
      </c>
      <c r="AA102" s="185">
        <f t="shared" ref="AA102" si="395">AA101/$C102</f>
        <v>2.9007104187675075</v>
      </c>
      <c r="AB102" s="249"/>
      <c r="AC102" s="185">
        <f>AC101/$C102</f>
        <v>1.8606457022408964</v>
      </c>
      <c r="AD102" s="185">
        <f t="shared" ref="AD102" si="396">AD101/$C102</f>
        <v>2.340598108123249</v>
      </c>
      <c r="AE102" s="185">
        <f t="shared" ref="AE102" si="397">AE101/$C102</f>
        <v>2.6160864845938376</v>
      </c>
      <c r="AF102" s="185">
        <f t="shared" ref="AF102" si="398">AF101/$C102</f>
        <v>2.7828860875350143</v>
      </c>
      <c r="AG102" s="185">
        <f t="shared" ref="AG102" si="399">AG101/$C102</f>
        <v>2.902336125770308</v>
      </c>
      <c r="AH102" s="249"/>
      <c r="AI102" s="80" t="s">
        <v>64</v>
      </c>
      <c r="AJ102" s="52"/>
      <c r="AK102" s="191"/>
    </row>
    <row r="103" spans="1:37" ht="16.3" thickBot="1" x14ac:dyDescent="0.5">
      <c r="B103" s="97" t="s">
        <v>53</v>
      </c>
      <c r="C103" s="186">
        <v>10500</v>
      </c>
      <c r="D103" s="183" t="s">
        <v>39</v>
      </c>
      <c r="E103" s="185">
        <f>E100/$C103</f>
        <v>0.5865836256000001</v>
      </c>
      <c r="F103" s="185">
        <f t="shared" ref="F103:I103" si="400">F100/$C103</f>
        <v>0.67834708199999993</v>
      </c>
      <c r="G103" s="185">
        <f t="shared" si="400"/>
        <v>0.73410765119999999</v>
      </c>
      <c r="H103" s="185">
        <f t="shared" si="400"/>
        <v>0.77274489600000007</v>
      </c>
      <c r="I103" s="185">
        <f t="shared" si="400"/>
        <v>0.80084471040000005</v>
      </c>
      <c r="J103" s="249"/>
      <c r="K103" s="185">
        <f>K100/$C103</f>
        <v>0.67500042731428578</v>
      </c>
      <c r="L103" s="185">
        <f t="shared" ref="L103:O103" si="401">L100/$C103</f>
        <v>0.79310745971428576</v>
      </c>
      <c r="M103" s="185">
        <f t="shared" si="401"/>
        <v>0.86203981691428588</v>
      </c>
      <c r="N103" s="185">
        <f t="shared" si="401"/>
        <v>0.90726295571428583</v>
      </c>
      <c r="O103" s="185">
        <f t="shared" si="401"/>
        <v>0.94194866411428557</v>
      </c>
      <c r="P103" s="249"/>
      <c r="Q103" s="185">
        <f>Q100/$C103</f>
        <v>0.72477998422857137</v>
      </c>
      <c r="R103" s="185">
        <f t="shared" ref="R103:U103" si="402">R100/$C103</f>
        <v>0.87230400982857148</v>
      </c>
      <c r="S103" s="185">
        <f t="shared" si="402"/>
        <v>0.95835969142857169</v>
      </c>
      <c r="T103" s="185">
        <f t="shared" si="402"/>
        <v>1.0154374394285715</v>
      </c>
      <c r="U103" s="185">
        <f t="shared" si="402"/>
        <v>1.0567090418285714</v>
      </c>
      <c r="V103" s="249"/>
      <c r="W103" s="185">
        <f>W100/$C103</f>
        <v>0.76901758845714285</v>
      </c>
      <c r="X103" s="185">
        <f t="shared" ref="X103:AA103" si="403">X100/$C103</f>
        <v>0.95166638205714271</v>
      </c>
      <c r="Y103" s="185">
        <f t="shared" si="403"/>
        <v>1.0596750436571429</v>
      </c>
      <c r="Z103" s="185">
        <f t="shared" si="403"/>
        <v>1.1308026988571429</v>
      </c>
      <c r="AA103" s="185">
        <f t="shared" si="403"/>
        <v>1.183489850857143</v>
      </c>
      <c r="AB103" s="249"/>
      <c r="AC103" s="185">
        <f>AC100/$C103</f>
        <v>0.75914344651428578</v>
      </c>
      <c r="AD103" s="185">
        <f t="shared" ref="AD103:AG103" si="404">AD100/$C103</f>
        <v>0.9549640281142856</v>
      </c>
      <c r="AE103" s="185">
        <f t="shared" si="404"/>
        <v>1.0673632857142858</v>
      </c>
      <c r="AF103" s="185">
        <f t="shared" si="404"/>
        <v>1.1354175237142858</v>
      </c>
      <c r="AG103" s="185">
        <f t="shared" si="404"/>
        <v>1.1841531393142857</v>
      </c>
      <c r="AH103" s="249"/>
      <c r="AI103" s="81" t="s">
        <v>49</v>
      </c>
      <c r="AK103" s="28" t="s">
        <v>37</v>
      </c>
    </row>
    <row r="104" spans="1:37" ht="16.3" thickBot="1" x14ac:dyDescent="0.5">
      <c r="B104" s="97" t="s">
        <v>52</v>
      </c>
      <c r="C104" s="75">
        <v>20</v>
      </c>
      <c r="D104" s="183" t="s">
        <v>40</v>
      </c>
      <c r="E104" s="184">
        <f>E98/$C104*100</f>
        <v>45022.866000000002</v>
      </c>
      <c r="F104" s="184">
        <f t="shared" ref="F104:I104" si="405">F98/$C104*100</f>
        <v>52066.113749999997</v>
      </c>
      <c r="G104" s="184">
        <f t="shared" si="405"/>
        <v>56345.981999999989</v>
      </c>
      <c r="H104" s="184">
        <f t="shared" si="405"/>
        <v>59311.56</v>
      </c>
      <c r="I104" s="184">
        <f t="shared" si="405"/>
        <v>61468.344000000005</v>
      </c>
      <c r="J104" s="259"/>
      <c r="K104" s="184">
        <f>K98/$C104*100</f>
        <v>52099.813500000004</v>
      </c>
      <c r="L104" s="184">
        <f t="shared" ref="L104:O104" si="406">L98/$C104*100</f>
        <v>61165.046249999999</v>
      </c>
      <c r="M104" s="184">
        <f t="shared" si="406"/>
        <v>66455.907000000007</v>
      </c>
      <c r="N104" s="184">
        <f t="shared" si="406"/>
        <v>69926.981249999997</v>
      </c>
      <c r="O104" s="184">
        <f t="shared" si="406"/>
        <v>72589.261499999993</v>
      </c>
      <c r="P104" s="259"/>
      <c r="Q104" s="184">
        <f>Q98/$C104*100</f>
        <v>56211.182999999997</v>
      </c>
      <c r="R104" s="184">
        <f t="shared" ref="R104:U104" si="407">R98/$C104*100</f>
        <v>67534.298999999999</v>
      </c>
      <c r="S104" s="184">
        <f t="shared" si="407"/>
        <v>74139.450000000012</v>
      </c>
      <c r="T104" s="184">
        <f t="shared" si="407"/>
        <v>78520.41750000001</v>
      </c>
      <c r="U104" s="184">
        <f t="shared" si="407"/>
        <v>81688.194000000003</v>
      </c>
      <c r="V104" s="259"/>
      <c r="W104" s="184">
        <f>W98/$C104*100</f>
        <v>60187.753499999999</v>
      </c>
      <c r="X104" s="184">
        <f t="shared" ref="X104:AA104" si="408">X98/$C104*100</f>
        <v>74206.849499999982</v>
      </c>
      <c r="Y104" s="184">
        <f t="shared" si="408"/>
        <v>82496.987999999998</v>
      </c>
      <c r="Z104" s="184">
        <f t="shared" si="408"/>
        <v>87956.347500000018</v>
      </c>
      <c r="AA104" s="184">
        <f t="shared" si="408"/>
        <v>92000.317500000005</v>
      </c>
      <c r="AB104" s="259"/>
      <c r="AC104" s="184">
        <f>AC98/$C104*100</f>
        <v>60592.150500000003</v>
      </c>
      <c r="AD104" s="184">
        <f t="shared" ref="AD104:AG104" si="409">AD98/$C104*100</f>
        <v>75622.238999999987</v>
      </c>
      <c r="AE104" s="184">
        <f t="shared" si="409"/>
        <v>84249.375</v>
      </c>
      <c r="AF104" s="184">
        <f t="shared" si="409"/>
        <v>89472.836249999993</v>
      </c>
      <c r="AG104" s="184">
        <f t="shared" si="409"/>
        <v>93213.508499999996</v>
      </c>
      <c r="AH104" s="259"/>
      <c r="AI104" s="80" t="s">
        <v>50</v>
      </c>
    </row>
  </sheetData>
  <phoneticPr fontId="14" type="noConversion"/>
  <hyperlinks>
    <hyperlink ref="AK99" r:id="rId1" display="https://www.ffe.de/veroeffentlichungen/umweltbilanz-von-elektrofahrzeugen-potenziale-der-kreislaufwirtschaft/" xr:uid="{009159C3-64DF-41C4-A5E5-7335E0B4237C}"/>
    <hyperlink ref="AK103" r:id="rId2" display="https://www.umweltbundesamt.de/bild/durchschnittlicher-co2-fussabdruck-pro-kopf-in" xr:uid="{E6EAC674-09A8-425F-A194-82AA6C52DD9C}"/>
    <hyperlink ref="AK101" r:id="rId3" location=":~:text=Faustformel%3A%20Ein%20Hektar%20Wald%20%E2%80%9Cspeichert,Tonne%20CO2%20%E2%80%9Cgespeichert%E2%80%9D." xr:uid="{F6816477-FA0C-439C-B512-72AA2BEE4788}"/>
    <hyperlink ref="AK100" r:id="rId4" location="%C3%96kobilanz" xr:uid="{8EA55BFE-2A40-45D8-9B13-DCE9B4E5D929}"/>
    <hyperlink ref="AK68" r:id="rId5" display="https://assets.ctfassets.net/xytfb1vrn7of/fEyKny9vSL0zsgtzvGjiv/6f6fe41313fa7b200ed51694c32dc96c/messpreise-fuer-einspeiser-nach-dem-kraft-waerme-kopplungsgesetz-2022.pdf" xr:uid="{86D4B539-AB59-427F-85C2-86432450173D}"/>
    <hyperlink ref="AK54" r:id="rId6" xr:uid="{0E4470FA-CA70-45E8-AA6C-6F069C6B156B}"/>
  </hyperlinks>
  <pageMargins left="0.7" right="0.7" top="0.75" bottom="0.75" header="0.3" footer="0.3"/>
  <pageSetup paperSize="9" orientation="portrait" r:id="rId7"/>
  <legacyDrawing r:id="rId8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FE7203F-373D-4F6B-BF24-EC44B033A496}">
          <x14:formula1>
            <xm:f>Betriebsmodelle!$B$3:$B$8</xm:f>
          </x14:formula1>
          <xm:sqref>E9:AH9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B86E0-4470-43B3-9DF6-1246C750AB14}">
  <dimension ref="A2:C23"/>
  <sheetViews>
    <sheetView workbookViewId="0">
      <selection activeCell="A5" sqref="A5"/>
    </sheetView>
  </sheetViews>
  <sheetFormatPr defaultRowHeight="14.6" x14ac:dyDescent="0.4"/>
  <cols>
    <col min="1" max="1" width="34.69140625" customWidth="1"/>
  </cols>
  <sheetData>
    <row r="2" spans="1:3" x14ac:dyDescent="0.4">
      <c r="A2" t="s">
        <v>170</v>
      </c>
    </row>
    <row r="3" spans="1:3" x14ac:dyDescent="0.4">
      <c r="B3" t="s">
        <v>173</v>
      </c>
    </row>
    <row r="4" spans="1:3" x14ac:dyDescent="0.4">
      <c r="B4" t="s">
        <v>171</v>
      </c>
    </row>
    <row r="5" spans="1:3" x14ac:dyDescent="0.4">
      <c r="B5" t="s">
        <v>172</v>
      </c>
    </row>
    <row r="7" spans="1:3" x14ac:dyDescent="0.4">
      <c r="A7" t="s">
        <v>87</v>
      </c>
      <c r="B7" t="s">
        <v>89</v>
      </c>
    </row>
    <row r="8" spans="1:3" x14ac:dyDescent="0.4">
      <c r="B8" t="s">
        <v>115</v>
      </c>
    </row>
    <row r="9" spans="1:3" x14ac:dyDescent="0.4">
      <c r="C9" s="28" t="s">
        <v>90</v>
      </c>
    </row>
    <row r="10" spans="1:3" x14ac:dyDescent="0.4">
      <c r="C10" s="66" t="s">
        <v>91</v>
      </c>
    </row>
    <row r="11" spans="1:3" x14ac:dyDescent="0.4">
      <c r="C11" s="66" t="s">
        <v>92</v>
      </c>
    </row>
    <row r="12" spans="1:3" x14ac:dyDescent="0.4">
      <c r="C12" s="66" t="s">
        <v>93</v>
      </c>
    </row>
    <row r="13" spans="1:3" x14ac:dyDescent="0.4">
      <c r="C13" s="66" t="s">
        <v>130</v>
      </c>
    </row>
    <row r="14" spans="1:3" x14ac:dyDescent="0.4">
      <c r="C14" s="66" t="s">
        <v>94</v>
      </c>
    </row>
    <row r="15" spans="1:3" x14ac:dyDescent="0.4">
      <c r="C15" s="66" t="s">
        <v>95</v>
      </c>
    </row>
    <row r="17" spans="1:2" ht="15.9" x14ac:dyDescent="0.45">
      <c r="A17" s="17" t="s">
        <v>19</v>
      </c>
      <c r="B17" s="17" t="s">
        <v>106</v>
      </c>
    </row>
    <row r="19" spans="1:2" x14ac:dyDescent="0.4">
      <c r="A19" t="s">
        <v>20</v>
      </c>
      <c r="B19" t="s">
        <v>124</v>
      </c>
    </row>
    <row r="21" spans="1:2" x14ac:dyDescent="0.4">
      <c r="A21" t="s">
        <v>21</v>
      </c>
      <c r="B21" t="s">
        <v>125</v>
      </c>
    </row>
    <row r="23" spans="1:2" x14ac:dyDescent="0.4">
      <c r="A23" t="s">
        <v>22</v>
      </c>
      <c r="B23" t="s">
        <v>126</v>
      </c>
    </row>
  </sheetData>
  <hyperlinks>
    <hyperlink ref="C9" r:id="rId1" display="https://re.jrc.ec.europa.eu/pvg_tools/en/" xr:uid="{7791BCF6-5E96-40F3-A099-B89B6209B1AF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AF1D0-D7AF-4121-912F-AE814FB61A7F}">
  <dimension ref="A2:J112"/>
  <sheetViews>
    <sheetView workbookViewId="0">
      <selection activeCell="B76" sqref="B76:H82"/>
    </sheetView>
  </sheetViews>
  <sheetFormatPr defaultRowHeight="14.6" x14ac:dyDescent="0.4"/>
  <cols>
    <col min="2" max="2" width="11.3046875" customWidth="1"/>
    <col min="3" max="3" width="17.69140625" customWidth="1"/>
    <col min="4" max="6" width="12.84375" style="65" customWidth="1"/>
    <col min="7" max="8" width="12.84375" customWidth="1"/>
  </cols>
  <sheetData>
    <row r="2" spans="3:3" ht="20.6" x14ac:dyDescent="0.55000000000000004">
      <c r="C2" s="226" t="str">
        <f>"Direktverbrauchsquote für "&amp; C73 &amp; " Wohnungen"</f>
        <v>Direktverbrauchsquote für 11 Wohnungen</v>
      </c>
    </row>
    <row r="3" spans="3:3" x14ac:dyDescent="0.4">
      <c r="C3" t="s">
        <v>213</v>
      </c>
    </row>
    <row r="4" spans="3:3" x14ac:dyDescent="0.4">
      <c r="C4" s="231" t="s">
        <v>209</v>
      </c>
    </row>
    <row r="5" spans="3:3" x14ac:dyDescent="0.4">
      <c r="C5" s="231" t="s">
        <v>212</v>
      </c>
    </row>
    <row r="6" spans="3:3" x14ac:dyDescent="0.4">
      <c r="C6" s="231" t="s">
        <v>206</v>
      </c>
    </row>
    <row r="36" spans="1:8" x14ac:dyDescent="0.4">
      <c r="D36"/>
      <c r="E36"/>
      <c r="F36"/>
    </row>
    <row r="37" spans="1:8" x14ac:dyDescent="0.4">
      <c r="D37"/>
      <c r="E37"/>
      <c r="F37"/>
    </row>
    <row r="38" spans="1:8" x14ac:dyDescent="0.4">
      <c r="D38"/>
      <c r="E38"/>
      <c r="F38"/>
    </row>
    <row r="39" spans="1:8" x14ac:dyDescent="0.4">
      <c r="D39"/>
      <c r="E39"/>
      <c r="F39"/>
    </row>
    <row r="40" spans="1:8" x14ac:dyDescent="0.4">
      <c r="D40"/>
      <c r="E40"/>
      <c r="F40"/>
    </row>
    <row r="41" spans="1:8" x14ac:dyDescent="0.4">
      <c r="D41"/>
      <c r="E41"/>
      <c r="F41"/>
    </row>
    <row r="42" spans="1:8" s="140" customFormat="1" x14ac:dyDescent="0.4">
      <c r="A42" s="140" t="s">
        <v>207</v>
      </c>
    </row>
    <row r="43" spans="1:8" x14ac:dyDescent="0.4">
      <c r="D43"/>
      <c r="E43"/>
      <c r="F43"/>
    </row>
    <row r="44" spans="1:8" x14ac:dyDescent="0.4">
      <c r="D44"/>
      <c r="E44"/>
      <c r="F44"/>
    </row>
    <row r="45" spans="1:8" ht="23.15" x14ac:dyDescent="0.6">
      <c r="A45" s="218" t="s">
        <v>195</v>
      </c>
      <c r="D45"/>
      <c r="E45"/>
      <c r="F45"/>
    </row>
    <row r="46" spans="1:8" x14ac:dyDescent="0.4">
      <c r="B46" t="s">
        <v>196</v>
      </c>
      <c r="C46" t="s">
        <v>197</v>
      </c>
      <c r="D46"/>
      <c r="E46" s="213" t="s">
        <v>198</v>
      </c>
      <c r="F46"/>
    </row>
    <row r="47" spans="1:8" x14ac:dyDescent="0.4">
      <c r="D47"/>
      <c r="E47"/>
      <c r="F47"/>
    </row>
    <row r="48" spans="1:8" x14ac:dyDescent="0.4">
      <c r="B48" s="211"/>
      <c r="D48" s="214"/>
      <c r="E48" s="11"/>
      <c r="F48" s="26" t="s">
        <v>199</v>
      </c>
      <c r="G48" s="11"/>
      <c r="H48" s="215"/>
    </row>
    <row r="49" spans="1:8" s="221" customFormat="1" x14ac:dyDescent="0.4">
      <c r="A49" s="210"/>
      <c r="B49" s="211"/>
      <c r="C49" s="65"/>
      <c r="D49" s="219">
        <v>0.5</v>
      </c>
      <c r="E49" s="219">
        <v>0.75</v>
      </c>
      <c r="F49" s="219">
        <v>1</v>
      </c>
      <c r="G49" s="219">
        <v>1.25</v>
      </c>
      <c r="H49" s="220">
        <v>1.5</v>
      </c>
    </row>
    <row r="50" spans="1:8" ht="15" customHeight="1" x14ac:dyDescent="0.4">
      <c r="A50" s="212"/>
      <c r="B50" s="261" t="s">
        <v>200</v>
      </c>
      <c r="C50" s="222">
        <v>0</v>
      </c>
      <c r="D50" s="216">
        <v>0.41199999999999998</v>
      </c>
      <c r="E50" s="216">
        <v>0.33700000000000002</v>
      </c>
      <c r="F50" s="216">
        <v>0.313</v>
      </c>
      <c r="G50" s="216">
        <v>0.27800000000000002</v>
      </c>
      <c r="H50" s="216">
        <v>0.248</v>
      </c>
    </row>
    <row r="51" spans="1:8" x14ac:dyDescent="0.4">
      <c r="A51" s="212"/>
      <c r="B51" s="262"/>
      <c r="C51" s="222">
        <v>0.25</v>
      </c>
      <c r="D51" s="216">
        <v>0.64500000000000002</v>
      </c>
      <c r="E51" s="216">
        <v>0.52400000000000002</v>
      </c>
      <c r="F51" s="216">
        <v>0.42699999999999999</v>
      </c>
      <c r="G51" s="216">
        <v>0.36799999999999999</v>
      </c>
      <c r="H51" s="216">
        <v>0.32600000000000001</v>
      </c>
    </row>
    <row r="52" spans="1:8" ht="15.75" customHeight="1" x14ac:dyDescent="0.4">
      <c r="A52" s="212"/>
      <c r="B52" s="262"/>
      <c r="C52" s="222">
        <v>0.5</v>
      </c>
      <c r="D52" s="216">
        <v>0.70199999999999996</v>
      </c>
      <c r="E52" s="216">
        <v>0.56599999999999995</v>
      </c>
      <c r="F52" s="216">
        <v>0.499</v>
      </c>
      <c r="G52" s="216">
        <v>0.42899999999999999</v>
      </c>
      <c r="H52" s="216">
        <v>0.374</v>
      </c>
    </row>
    <row r="53" spans="1:8" x14ac:dyDescent="0.4">
      <c r="A53" s="212"/>
      <c r="B53" s="262"/>
      <c r="C53" s="222">
        <v>1</v>
      </c>
      <c r="D53" s="216">
        <v>0.80200000000000005</v>
      </c>
      <c r="E53" s="216">
        <v>0.66</v>
      </c>
      <c r="F53" s="216">
        <v>0.57499999999999996</v>
      </c>
      <c r="G53" s="216">
        <v>0.498</v>
      </c>
      <c r="H53" s="216">
        <v>0.435</v>
      </c>
    </row>
    <row r="54" spans="1:8" x14ac:dyDescent="0.4">
      <c r="A54" s="212"/>
      <c r="B54" s="263"/>
      <c r="C54" s="223">
        <v>2</v>
      </c>
      <c r="D54" s="216">
        <v>0.88100000000000001</v>
      </c>
      <c r="E54" s="216">
        <v>0.72099999999999997</v>
      </c>
      <c r="F54" s="216">
        <v>0.61699999999999999</v>
      </c>
      <c r="G54" s="216">
        <v>0.53800000000000003</v>
      </c>
      <c r="H54" s="216">
        <v>0.47099999999999997</v>
      </c>
    </row>
    <row r="55" spans="1:8" x14ac:dyDescent="0.4">
      <c r="A55" s="212"/>
      <c r="B55" s="211"/>
      <c r="C55" s="211"/>
      <c r="D55" s="213"/>
      <c r="E55" s="213"/>
      <c r="F55" s="213"/>
      <c r="G55" s="213"/>
      <c r="H55" s="213"/>
    </row>
    <row r="56" spans="1:8" x14ac:dyDescent="0.4">
      <c r="A56" s="212"/>
      <c r="B56" s="211"/>
      <c r="C56" s="211"/>
      <c r="D56" s="213"/>
      <c r="E56" s="213"/>
      <c r="F56" s="213"/>
      <c r="G56" s="213"/>
      <c r="H56" s="213"/>
    </row>
    <row r="57" spans="1:8" x14ac:dyDescent="0.4">
      <c r="A57" s="212"/>
      <c r="B57" s="211"/>
      <c r="C57" s="211"/>
      <c r="D57" s="213"/>
      <c r="E57" s="213"/>
      <c r="F57" s="213"/>
      <c r="G57" s="213"/>
      <c r="H57" s="213"/>
    </row>
    <row r="58" spans="1:8" ht="23.15" x14ac:dyDescent="0.6">
      <c r="A58" s="218" t="s">
        <v>201</v>
      </c>
      <c r="B58" s="211"/>
      <c r="C58" s="211"/>
      <c r="D58" s="213"/>
      <c r="E58" s="213"/>
      <c r="F58" s="213"/>
      <c r="G58" s="213"/>
      <c r="H58" s="213"/>
    </row>
    <row r="59" spans="1:8" x14ac:dyDescent="0.4">
      <c r="B59" t="s">
        <v>196</v>
      </c>
      <c r="C59" t="s">
        <v>197</v>
      </c>
      <c r="D59" s="213"/>
      <c r="E59" s="213" t="s">
        <v>198</v>
      </c>
      <c r="F59" s="213"/>
      <c r="G59" s="213"/>
      <c r="H59" s="213"/>
    </row>
    <row r="60" spans="1:8" x14ac:dyDescent="0.4">
      <c r="A60" s="212"/>
      <c r="B60" s="211"/>
      <c r="C60" s="211"/>
      <c r="D60" s="213"/>
      <c r="E60" s="213"/>
      <c r="F60" s="213"/>
      <c r="G60" s="213"/>
      <c r="H60" s="213"/>
    </row>
    <row r="61" spans="1:8" x14ac:dyDescent="0.4">
      <c r="A61" s="212"/>
      <c r="C61" s="212"/>
      <c r="D61" s="214"/>
      <c r="E61" s="11"/>
      <c r="F61" s="26" t="s">
        <v>199</v>
      </c>
      <c r="G61" s="11"/>
      <c r="H61" s="215"/>
    </row>
    <row r="62" spans="1:8" x14ac:dyDescent="0.4">
      <c r="A62" s="212"/>
      <c r="C62" s="224"/>
      <c r="D62" s="219">
        <v>0.5</v>
      </c>
      <c r="E62" s="219">
        <v>0.75</v>
      </c>
      <c r="F62" s="219">
        <v>1</v>
      </c>
      <c r="G62" s="219">
        <v>1.25</v>
      </c>
      <c r="H62" s="220">
        <v>1.5</v>
      </c>
    </row>
    <row r="63" spans="1:8" ht="15" customHeight="1" x14ac:dyDescent="0.4">
      <c r="A63" s="212"/>
      <c r="B63" s="261" t="s">
        <v>200</v>
      </c>
      <c r="C63" s="222">
        <v>0</v>
      </c>
      <c r="D63" s="216">
        <v>0.66800000000000004</v>
      </c>
      <c r="E63" s="216">
        <v>0.51500000000000001</v>
      </c>
      <c r="F63" s="216">
        <v>0.41799999999999998</v>
      </c>
      <c r="G63" s="216">
        <v>0.35199999999999998</v>
      </c>
      <c r="H63" s="216">
        <v>0.30399999999999999</v>
      </c>
    </row>
    <row r="64" spans="1:8" x14ac:dyDescent="0.4">
      <c r="A64" s="212"/>
      <c r="B64" s="262"/>
      <c r="C64" s="222">
        <v>0.25</v>
      </c>
      <c r="D64" s="216">
        <v>0.77300000000000002</v>
      </c>
      <c r="E64" s="216">
        <v>0.60499999999999998</v>
      </c>
      <c r="F64" s="216">
        <v>0.49299999999999999</v>
      </c>
      <c r="G64" s="216">
        <v>0.41499999999999998</v>
      </c>
      <c r="H64" s="216">
        <v>0.35899999999999999</v>
      </c>
    </row>
    <row r="65" spans="1:10" x14ac:dyDescent="0.4">
      <c r="A65" s="212"/>
      <c r="B65" s="262"/>
      <c r="C65" s="222">
        <v>0.5</v>
      </c>
      <c r="D65" s="216">
        <v>0.83399999999999996</v>
      </c>
      <c r="E65" s="216">
        <v>0.66800000000000004</v>
      </c>
      <c r="F65" s="216">
        <v>0.55000000000000004</v>
      </c>
      <c r="G65" s="216">
        <v>0.46600000000000003</v>
      </c>
      <c r="H65" s="216">
        <v>0.40400000000000003</v>
      </c>
    </row>
    <row r="66" spans="1:10" x14ac:dyDescent="0.4">
      <c r="A66" s="212"/>
      <c r="B66" s="262"/>
      <c r="C66" s="222">
        <v>1</v>
      </c>
      <c r="D66" s="216">
        <v>0.89300000000000002</v>
      </c>
      <c r="E66" s="216">
        <v>0.73399999999999999</v>
      </c>
      <c r="F66" s="216">
        <v>0.61199999999999999</v>
      </c>
      <c r="G66" s="216">
        <v>0.52200000000000002</v>
      </c>
      <c r="H66" s="216">
        <v>0.45500000000000002</v>
      </c>
    </row>
    <row r="67" spans="1:10" x14ac:dyDescent="0.4">
      <c r="A67" s="212"/>
      <c r="B67" s="263"/>
      <c r="C67" s="223">
        <v>2</v>
      </c>
      <c r="D67" s="216">
        <v>0.89900000000000002</v>
      </c>
      <c r="E67" s="216">
        <v>0.748</v>
      </c>
      <c r="F67" s="216">
        <v>0.625</v>
      </c>
      <c r="G67" s="216">
        <v>0.53100000000000003</v>
      </c>
      <c r="H67" s="216">
        <v>0.46100000000000002</v>
      </c>
    </row>
    <row r="68" spans="1:10" x14ac:dyDescent="0.4">
      <c r="A68" s="212"/>
      <c r="C68" s="211"/>
      <c r="D68" s="213"/>
      <c r="E68" s="213"/>
      <c r="F68" s="213"/>
      <c r="G68" s="213"/>
      <c r="H68" s="213"/>
    </row>
    <row r="69" spans="1:10" x14ac:dyDescent="0.4">
      <c r="A69" s="212"/>
      <c r="C69" s="211"/>
      <c r="D69" s="213"/>
      <c r="E69" s="213"/>
      <c r="F69" s="213"/>
      <c r="G69" s="213"/>
      <c r="H69" s="213"/>
    </row>
    <row r="70" spans="1:10" x14ac:dyDescent="0.4">
      <c r="A70" s="212"/>
      <c r="B70" s="211"/>
      <c r="C70" s="211"/>
      <c r="D70" s="213"/>
      <c r="E70" s="213"/>
      <c r="F70" s="213"/>
      <c r="G70" s="213"/>
      <c r="H70" s="213"/>
    </row>
    <row r="71" spans="1:10" ht="23.15" x14ac:dyDescent="0.6">
      <c r="A71" s="218" t="s">
        <v>202</v>
      </c>
      <c r="B71" s="211"/>
      <c r="C71" s="211"/>
      <c r="D71" s="213"/>
      <c r="E71" s="213"/>
      <c r="F71" s="213"/>
      <c r="G71" s="213"/>
      <c r="H71" s="213"/>
    </row>
    <row r="72" spans="1:10" x14ac:dyDescent="0.4">
      <c r="A72" s="212"/>
      <c r="B72" s="225" t="s">
        <v>203</v>
      </c>
      <c r="C72" s="211"/>
      <c r="D72" s="213"/>
      <c r="E72" s="213"/>
      <c r="F72" s="213"/>
      <c r="G72" s="213"/>
      <c r="H72" s="213"/>
    </row>
    <row r="73" spans="1:10" x14ac:dyDescent="0.4">
      <c r="A73" s="212"/>
      <c r="B73" s="225" t="s">
        <v>208</v>
      </c>
      <c r="C73" s="233">
        <f>'Eingaben &amp; Berechnung'!C7</f>
        <v>11</v>
      </c>
      <c r="D73" s="213"/>
      <c r="E73" s="213"/>
      <c r="F73" s="213"/>
      <c r="G73" s="213"/>
      <c r="H73" s="213"/>
    </row>
    <row r="74" spans="1:10" x14ac:dyDescent="0.4">
      <c r="A74" s="212"/>
      <c r="B74" s="225" t="s">
        <v>204</v>
      </c>
      <c r="C74" s="213">
        <f>IF(C73&gt;11,100%,(SQRT(C73)-SQRT(1))/(SQRT(11)-SQRT(1)))</f>
        <v>1</v>
      </c>
      <c r="D74" s="217" t="s">
        <v>210</v>
      </c>
      <c r="E74" s="213"/>
      <c r="F74" s="213"/>
      <c r="G74" s="213"/>
      <c r="H74" s="213"/>
    </row>
    <row r="75" spans="1:10" x14ac:dyDescent="0.4">
      <c r="A75" s="212"/>
      <c r="B75" s="211"/>
      <c r="C75" s="211"/>
      <c r="D75" s="213"/>
      <c r="E75" s="213"/>
      <c r="F75" s="213"/>
      <c r="G75" s="213"/>
      <c r="H75" s="213"/>
    </row>
    <row r="76" spans="1:10" x14ac:dyDescent="0.4">
      <c r="A76" s="212"/>
      <c r="B76" s="212"/>
      <c r="D76" s="214"/>
      <c r="E76" s="11"/>
      <c r="F76" s="26" t="s">
        <v>199</v>
      </c>
      <c r="G76" s="11"/>
      <c r="H76" s="215"/>
      <c r="I76" s="212"/>
      <c r="J76" s="212"/>
    </row>
    <row r="77" spans="1:10" x14ac:dyDescent="0.4">
      <c r="A77" s="212"/>
      <c r="B77" s="212"/>
      <c r="C77" s="212"/>
      <c r="D77" s="219">
        <v>0.5</v>
      </c>
      <c r="E77" s="219">
        <v>0.75</v>
      </c>
      <c r="F77" s="219">
        <v>1</v>
      </c>
      <c r="G77" s="219">
        <v>1.25</v>
      </c>
      <c r="H77" s="220">
        <v>1.5</v>
      </c>
    </row>
    <row r="78" spans="1:10" ht="15" customHeight="1" x14ac:dyDescent="0.4">
      <c r="A78" s="212"/>
      <c r="B78" s="261" t="s">
        <v>200</v>
      </c>
      <c r="C78" s="222">
        <v>0</v>
      </c>
      <c r="D78" s="216">
        <f t="shared" ref="D78:H82" si="0">D63*$C$74+D50*(1-$C$74)</f>
        <v>0.66800000000000004</v>
      </c>
      <c r="E78" s="216">
        <f t="shared" si="0"/>
        <v>0.51500000000000001</v>
      </c>
      <c r="F78" s="216">
        <f t="shared" si="0"/>
        <v>0.41799999999999998</v>
      </c>
      <c r="G78" s="216">
        <f t="shared" si="0"/>
        <v>0.35199999999999998</v>
      </c>
      <c r="H78" s="216">
        <f t="shared" si="0"/>
        <v>0.30399999999999999</v>
      </c>
    </row>
    <row r="79" spans="1:10" x14ac:dyDescent="0.4">
      <c r="A79" s="212"/>
      <c r="B79" s="262"/>
      <c r="C79" s="222">
        <v>0.25</v>
      </c>
      <c r="D79" s="216">
        <f t="shared" si="0"/>
        <v>0.77300000000000002</v>
      </c>
      <c r="E79" s="216">
        <f t="shared" si="0"/>
        <v>0.60499999999999998</v>
      </c>
      <c r="F79" s="216">
        <f t="shared" si="0"/>
        <v>0.49299999999999999</v>
      </c>
      <c r="G79" s="216">
        <f t="shared" si="0"/>
        <v>0.41499999999999998</v>
      </c>
      <c r="H79" s="216">
        <f t="shared" si="0"/>
        <v>0.35899999999999999</v>
      </c>
    </row>
    <row r="80" spans="1:10" ht="14.25" customHeight="1" x14ac:dyDescent="0.4">
      <c r="A80" s="212"/>
      <c r="B80" s="262"/>
      <c r="C80" s="222">
        <v>0.5</v>
      </c>
      <c r="D80" s="216">
        <f t="shared" si="0"/>
        <v>0.83399999999999996</v>
      </c>
      <c r="E80" s="216">
        <f t="shared" si="0"/>
        <v>0.66800000000000004</v>
      </c>
      <c r="F80" s="216">
        <f t="shared" si="0"/>
        <v>0.55000000000000004</v>
      </c>
      <c r="G80" s="216">
        <f t="shared" si="0"/>
        <v>0.46600000000000003</v>
      </c>
      <c r="H80" s="216">
        <f t="shared" si="0"/>
        <v>0.40400000000000003</v>
      </c>
    </row>
    <row r="81" spans="1:8" x14ac:dyDescent="0.4">
      <c r="A81" s="212"/>
      <c r="B81" s="262"/>
      <c r="C81" s="222">
        <v>1</v>
      </c>
      <c r="D81" s="216">
        <f t="shared" si="0"/>
        <v>0.89300000000000002</v>
      </c>
      <c r="E81" s="216">
        <f t="shared" si="0"/>
        <v>0.73399999999999999</v>
      </c>
      <c r="F81" s="216">
        <f t="shared" si="0"/>
        <v>0.61199999999999999</v>
      </c>
      <c r="G81" s="216">
        <f t="shared" si="0"/>
        <v>0.52200000000000002</v>
      </c>
      <c r="H81" s="216">
        <f t="shared" si="0"/>
        <v>0.45500000000000002</v>
      </c>
    </row>
    <row r="82" spans="1:8" x14ac:dyDescent="0.4">
      <c r="A82" s="212"/>
      <c r="B82" s="263"/>
      <c r="C82" s="223">
        <v>2</v>
      </c>
      <c r="D82" s="216">
        <f t="shared" si="0"/>
        <v>0.89900000000000002</v>
      </c>
      <c r="E82" s="216">
        <f t="shared" si="0"/>
        <v>0.748</v>
      </c>
      <c r="F82" s="216">
        <f t="shared" si="0"/>
        <v>0.625</v>
      </c>
      <c r="G82" s="216">
        <f t="shared" si="0"/>
        <v>0.53100000000000003</v>
      </c>
      <c r="H82" s="216">
        <f t="shared" si="0"/>
        <v>0.46100000000000002</v>
      </c>
    </row>
    <row r="83" spans="1:8" x14ac:dyDescent="0.4">
      <c r="B83" s="212"/>
      <c r="D83"/>
      <c r="E83"/>
      <c r="F83"/>
    </row>
    <row r="84" spans="1:8" x14ac:dyDescent="0.4">
      <c r="D84"/>
      <c r="E84"/>
      <c r="F84"/>
    </row>
    <row r="85" spans="1:8" x14ac:dyDescent="0.4">
      <c r="D85"/>
      <c r="E85"/>
      <c r="F85"/>
    </row>
    <row r="86" spans="1:8" x14ac:dyDescent="0.4">
      <c r="D86"/>
      <c r="E86"/>
      <c r="F86"/>
    </row>
    <row r="87" spans="1:8" x14ac:dyDescent="0.4">
      <c r="D87"/>
      <c r="E87"/>
      <c r="F87"/>
    </row>
    <row r="88" spans="1:8" x14ac:dyDescent="0.4">
      <c r="D88"/>
      <c r="E88"/>
      <c r="F88"/>
    </row>
    <row r="89" spans="1:8" x14ac:dyDescent="0.4">
      <c r="D89"/>
      <c r="E89"/>
      <c r="F89"/>
    </row>
    <row r="90" spans="1:8" x14ac:dyDescent="0.4">
      <c r="D90"/>
      <c r="E90"/>
      <c r="F90"/>
    </row>
    <row r="91" spans="1:8" x14ac:dyDescent="0.4">
      <c r="D91"/>
      <c r="E91"/>
      <c r="F91"/>
    </row>
    <row r="92" spans="1:8" x14ac:dyDescent="0.4">
      <c r="D92"/>
      <c r="E92"/>
      <c r="F92"/>
    </row>
    <row r="93" spans="1:8" x14ac:dyDescent="0.4">
      <c r="D93"/>
      <c r="E93"/>
      <c r="F93"/>
    </row>
    <row r="94" spans="1:8" x14ac:dyDescent="0.4">
      <c r="D94"/>
      <c r="E94"/>
      <c r="F94"/>
    </row>
    <row r="95" spans="1:8" x14ac:dyDescent="0.4">
      <c r="D95"/>
      <c r="E95"/>
      <c r="F95"/>
    </row>
    <row r="96" spans="1:8" x14ac:dyDescent="0.4">
      <c r="D96"/>
      <c r="E96"/>
      <c r="F96"/>
    </row>
    <row r="97" customFormat="1" x14ac:dyDescent="0.4"/>
    <row r="98" customFormat="1" x14ac:dyDescent="0.4"/>
    <row r="99" customFormat="1" x14ac:dyDescent="0.4"/>
    <row r="100" customFormat="1" x14ac:dyDescent="0.4"/>
    <row r="101" customFormat="1" x14ac:dyDescent="0.4"/>
    <row r="102" customFormat="1" x14ac:dyDescent="0.4"/>
    <row r="103" customFormat="1" x14ac:dyDescent="0.4"/>
    <row r="104" customFormat="1" x14ac:dyDescent="0.4"/>
    <row r="105" customFormat="1" x14ac:dyDescent="0.4"/>
    <row r="106" customFormat="1" x14ac:dyDescent="0.4"/>
    <row r="107" customFormat="1" x14ac:dyDescent="0.4"/>
    <row r="108" customFormat="1" x14ac:dyDescent="0.4"/>
    <row r="109" customFormat="1" x14ac:dyDescent="0.4"/>
    <row r="110" customFormat="1" x14ac:dyDescent="0.4"/>
    <row r="111" customFormat="1" x14ac:dyDescent="0.4"/>
    <row r="112" customFormat="1" x14ac:dyDescent="0.4"/>
  </sheetData>
  <mergeCells count="3">
    <mergeCell ref="B78:B82"/>
    <mergeCell ref="B50:B54"/>
    <mergeCell ref="B63:B6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FEF03-68FC-4626-A926-37BF410492D2}">
  <dimension ref="A1:G119"/>
  <sheetViews>
    <sheetView workbookViewId="0">
      <selection activeCell="C10" sqref="C10"/>
    </sheetView>
  </sheetViews>
  <sheetFormatPr defaultRowHeight="14.6" x14ac:dyDescent="0.4"/>
  <cols>
    <col min="1" max="1" width="18.3828125" style="1" customWidth="1"/>
    <col min="2" max="4" width="12.69140625" customWidth="1"/>
    <col min="5" max="5" width="3.3046875" customWidth="1"/>
    <col min="6" max="7" width="15.69140625" style="3" customWidth="1"/>
  </cols>
  <sheetData>
    <row r="1" spans="1:7" x14ac:dyDescent="0.4">
      <c r="A1" s="1" t="s">
        <v>57</v>
      </c>
    </row>
    <row r="3" spans="1:7" x14ac:dyDescent="0.4">
      <c r="A3" s="44" t="s">
        <v>58</v>
      </c>
      <c r="B3" s="11"/>
      <c r="C3" s="26" t="s">
        <v>32</v>
      </c>
      <c r="D3" s="11"/>
    </row>
    <row r="4" spans="1:7" x14ac:dyDescent="0.4">
      <c r="A4" s="45" t="s">
        <v>59</v>
      </c>
      <c r="B4" s="27" t="s">
        <v>28</v>
      </c>
      <c r="C4" s="27" t="s">
        <v>29</v>
      </c>
      <c r="D4" s="27" t="s">
        <v>30</v>
      </c>
    </row>
    <row r="5" spans="1:7" x14ac:dyDescent="0.4">
      <c r="A5" s="22" t="s">
        <v>11</v>
      </c>
      <c r="B5" s="18">
        <f>0.082</f>
        <v>8.2000000000000003E-2</v>
      </c>
      <c r="C5" s="18">
        <f>0.071</f>
        <v>7.0999999999999994E-2</v>
      </c>
      <c r="D5" s="18">
        <f>0.058</f>
        <v>5.8000000000000003E-2</v>
      </c>
      <c r="E5" s="2" t="s">
        <v>2</v>
      </c>
      <c r="G5" s="31" t="s">
        <v>34</v>
      </c>
    </row>
    <row r="6" spans="1:7" x14ac:dyDescent="0.4">
      <c r="A6" s="22" t="s">
        <v>7</v>
      </c>
      <c r="B6" s="18">
        <f>0.13</f>
        <v>0.13</v>
      </c>
      <c r="C6" s="18">
        <f>0.109</f>
        <v>0.109</v>
      </c>
      <c r="D6" s="18">
        <f>0.109</f>
        <v>0.109</v>
      </c>
      <c r="E6" s="2" t="s">
        <v>2</v>
      </c>
      <c r="G6" s="31" t="s">
        <v>34</v>
      </c>
    </row>
    <row r="8" spans="1:7" x14ac:dyDescent="0.4">
      <c r="A8" s="1" t="s">
        <v>55</v>
      </c>
      <c r="C8" s="41">
        <f>'Eingaben &amp; Berechnung'!C12</f>
        <v>45931</v>
      </c>
      <c r="G8" s="35"/>
    </row>
    <row r="9" spans="1:7" x14ac:dyDescent="0.4">
      <c r="A9" s="1" t="s">
        <v>61</v>
      </c>
      <c r="B9" s="46">
        <v>45292</v>
      </c>
      <c r="C9" s="43">
        <f>IF(C8&lt;B9,0,CEILING(DATEDIF(B9,C8,"m")/6,1))</f>
        <v>4</v>
      </c>
      <c r="F9" s="35"/>
      <c r="G9" s="42"/>
    </row>
    <row r="10" spans="1:7" x14ac:dyDescent="0.4">
      <c r="A10" s="21"/>
    </row>
    <row r="11" spans="1:7" x14ac:dyDescent="0.4">
      <c r="A11" s="44" t="s">
        <v>60</v>
      </c>
      <c r="B11" s="11"/>
      <c r="C11" s="26" t="s">
        <v>32</v>
      </c>
      <c r="D11" s="11"/>
    </row>
    <row r="12" spans="1:7" x14ac:dyDescent="0.4">
      <c r="A12" s="45">
        <f>C8</f>
        <v>45931</v>
      </c>
      <c r="B12" s="27" t="s">
        <v>28</v>
      </c>
      <c r="C12" s="27" t="s">
        <v>29</v>
      </c>
      <c r="D12" s="27" t="s">
        <v>30</v>
      </c>
    </row>
    <row r="13" spans="1:7" x14ac:dyDescent="0.4">
      <c r="A13" s="22" t="s">
        <v>11</v>
      </c>
      <c r="B13" s="18">
        <f>B5*(1-$C$9/100)</f>
        <v>7.8719999999999998E-2</v>
      </c>
      <c r="C13" s="18">
        <f t="shared" ref="C13:D13" si="0">C5*(1-$C$9/100)</f>
        <v>6.8159999999999984E-2</v>
      </c>
      <c r="D13" s="18">
        <f t="shared" si="0"/>
        <v>5.568E-2</v>
      </c>
      <c r="E13" s="2" t="s">
        <v>2</v>
      </c>
      <c r="G13" s="31"/>
    </row>
    <row r="14" spans="1:7" x14ac:dyDescent="0.4">
      <c r="A14" s="22" t="s">
        <v>7</v>
      </c>
      <c r="B14" s="18">
        <f>B6*(1-$C$9/100)</f>
        <v>0.12479999999999999</v>
      </c>
      <c r="C14" s="18">
        <f t="shared" ref="C14:D14" si="1">C6*(1-$C$9/100)</f>
        <v>0.10464</v>
      </c>
      <c r="D14" s="18">
        <f t="shared" si="1"/>
        <v>0.10464</v>
      </c>
      <c r="E14" s="2" t="s">
        <v>2</v>
      </c>
      <c r="G14" s="31"/>
    </row>
    <row r="16" spans="1:7" s="10" customFormat="1" x14ac:dyDescent="0.4">
      <c r="A16" s="23" t="s">
        <v>17</v>
      </c>
      <c r="B16" s="19"/>
      <c r="C16" s="26" t="s">
        <v>32</v>
      </c>
      <c r="D16" s="19"/>
      <c r="E16" s="19"/>
      <c r="F16" s="29" t="s">
        <v>31</v>
      </c>
      <c r="G16" s="29" t="s">
        <v>31</v>
      </c>
    </row>
    <row r="17" spans="1:7" s="10" customFormat="1" x14ac:dyDescent="0.4">
      <c r="A17" s="23"/>
      <c r="B17" s="19" t="str">
        <f>B12</f>
        <v>0 - 10 kWp</v>
      </c>
      <c r="C17" s="19" t="str">
        <f t="shared" ref="C17:D17" si="2">C12</f>
        <v>10 - 40 kWp</v>
      </c>
      <c r="D17" s="19" t="str">
        <f t="shared" si="2"/>
        <v>40 - 100 kWp</v>
      </c>
      <c r="E17" s="19"/>
      <c r="F17" s="29" t="s">
        <v>11</v>
      </c>
      <c r="G17" s="29" t="s">
        <v>7</v>
      </c>
    </row>
    <row r="18" spans="1:7" s="10" customFormat="1" x14ac:dyDescent="0.4">
      <c r="A18" s="24" t="s">
        <v>0</v>
      </c>
      <c r="B18" s="20" t="s">
        <v>0</v>
      </c>
      <c r="C18" s="20" t="s">
        <v>0</v>
      </c>
      <c r="D18" s="20" t="s">
        <v>0</v>
      </c>
      <c r="E18" s="20"/>
      <c r="F18" s="30" t="s">
        <v>33</v>
      </c>
      <c r="G18" s="30" t="s">
        <v>33</v>
      </c>
    </row>
    <row r="19" spans="1:7" x14ac:dyDescent="0.4">
      <c r="A19" s="25">
        <v>1</v>
      </c>
      <c r="B19">
        <f>IF($A19&lt;10,$A19,10)</f>
        <v>1</v>
      </c>
      <c r="C19">
        <f>IF($A19&lt;10,0,IF($A19&gt;40,30,$A19-10))</f>
        <v>0</v>
      </c>
      <c r="D19">
        <f>IF(A19&lt;40,0,A19-40)</f>
        <v>0</v>
      </c>
      <c r="F19" s="3">
        <f>(B19*B$13+C19*C$13+D19*D$13)/$A19</f>
        <v>7.8719999999999998E-2</v>
      </c>
      <c r="G19" s="3">
        <f>(B19*B$14+C19*C$14+D19*D$14)/$A19</f>
        <v>0.12479999999999999</v>
      </c>
    </row>
    <row r="20" spans="1:7" x14ac:dyDescent="0.4">
      <c r="A20" s="25">
        <v>2</v>
      </c>
      <c r="B20">
        <f t="shared" ref="B20:B83" si="3">IF($A20&lt;10,$A20,10)</f>
        <v>2</v>
      </c>
      <c r="C20">
        <f t="shared" ref="C20:C83" si="4">IF($A20&lt;10,0,IF($A20&gt;40,30,$A20-10))</f>
        <v>0</v>
      </c>
      <c r="D20">
        <f t="shared" ref="D20:D83" si="5">IF(A20&lt;40,0,A20-40)</f>
        <v>0</v>
      </c>
      <c r="F20" s="3">
        <f t="shared" ref="F20:F83" si="6">(B20*B$13+C20*C$13+D20*D$13)/$A20</f>
        <v>7.8719999999999998E-2</v>
      </c>
      <c r="G20" s="3">
        <f t="shared" ref="G20:G83" si="7">(B20*B$14+C20*C$14+D20*D$14)/$A20</f>
        <v>0.12479999999999999</v>
      </c>
    </row>
    <row r="21" spans="1:7" x14ac:dyDescent="0.4">
      <c r="A21" s="25">
        <v>3</v>
      </c>
      <c r="B21">
        <f t="shared" si="3"/>
        <v>3</v>
      </c>
      <c r="C21">
        <f t="shared" si="4"/>
        <v>0</v>
      </c>
      <c r="D21">
        <f t="shared" si="5"/>
        <v>0</v>
      </c>
      <c r="F21" s="3">
        <f t="shared" si="6"/>
        <v>7.8719999999999998E-2</v>
      </c>
      <c r="G21" s="3">
        <f t="shared" si="7"/>
        <v>0.12479999999999998</v>
      </c>
    </row>
    <row r="22" spans="1:7" x14ac:dyDescent="0.4">
      <c r="A22" s="25">
        <v>4</v>
      </c>
      <c r="B22">
        <f t="shared" si="3"/>
        <v>4</v>
      </c>
      <c r="C22">
        <f t="shared" si="4"/>
        <v>0</v>
      </c>
      <c r="D22">
        <f t="shared" si="5"/>
        <v>0</v>
      </c>
      <c r="F22" s="3">
        <f t="shared" si="6"/>
        <v>7.8719999999999998E-2</v>
      </c>
      <c r="G22" s="3">
        <f t="shared" si="7"/>
        <v>0.12479999999999999</v>
      </c>
    </row>
    <row r="23" spans="1:7" x14ac:dyDescent="0.4">
      <c r="A23" s="25">
        <v>5</v>
      </c>
      <c r="B23">
        <f t="shared" si="3"/>
        <v>5</v>
      </c>
      <c r="C23">
        <f t="shared" si="4"/>
        <v>0</v>
      </c>
      <c r="D23">
        <f t="shared" si="5"/>
        <v>0</v>
      </c>
      <c r="F23" s="3">
        <f t="shared" si="6"/>
        <v>7.8719999999999998E-2</v>
      </c>
      <c r="G23" s="3">
        <f t="shared" si="7"/>
        <v>0.12479999999999999</v>
      </c>
    </row>
    <row r="24" spans="1:7" x14ac:dyDescent="0.4">
      <c r="A24" s="25">
        <v>6</v>
      </c>
      <c r="B24">
        <f t="shared" si="3"/>
        <v>6</v>
      </c>
      <c r="C24">
        <f t="shared" si="4"/>
        <v>0</v>
      </c>
      <c r="D24">
        <f t="shared" si="5"/>
        <v>0</v>
      </c>
      <c r="F24" s="3">
        <f t="shared" si="6"/>
        <v>7.8719999999999998E-2</v>
      </c>
      <c r="G24" s="3">
        <f t="shared" si="7"/>
        <v>0.12479999999999998</v>
      </c>
    </row>
    <row r="25" spans="1:7" x14ac:dyDescent="0.4">
      <c r="A25" s="25">
        <v>7</v>
      </c>
      <c r="B25">
        <f t="shared" si="3"/>
        <v>7</v>
      </c>
      <c r="C25">
        <f t="shared" si="4"/>
        <v>0</v>
      </c>
      <c r="D25">
        <f t="shared" si="5"/>
        <v>0</v>
      </c>
      <c r="F25" s="3">
        <f t="shared" si="6"/>
        <v>7.8719999999999998E-2</v>
      </c>
      <c r="G25" s="3">
        <f t="shared" si="7"/>
        <v>0.12479999999999999</v>
      </c>
    </row>
    <row r="26" spans="1:7" x14ac:dyDescent="0.4">
      <c r="A26" s="25">
        <v>8</v>
      </c>
      <c r="B26">
        <f t="shared" si="3"/>
        <v>8</v>
      </c>
      <c r="C26">
        <f t="shared" si="4"/>
        <v>0</v>
      </c>
      <c r="D26">
        <f t="shared" si="5"/>
        <v>0</v>
      </c>
      <c r="F26" s="3">
        <f t="shared" si="6"/>
        <v>7.8719999999999998E-2</v>
      </c>
      <c r="G26" s="3">
        <f t="shared" si="7"/>
        <v>0.12479999999999999</v>
      </c>
    </row>
    <row r="27" spans="1:7" x14ac:dyDescent="0.4">
      <c r="A27" s="25">
        <v>9</v>
      </c>
      <c r="B27">
        <f t="shared" si="3"/>
        <v>9</v>
      </c>
      <c r="C27">
        <f t="shared" si="4"/>
        <v>0</v>
      </c>
      <c r="D27">
        <f t="shared" si="5"/>
        <v>0</v>
      </c>
      <c r="F27" s="3">
        <f t="shared" si="6"/>
        <v>7.8719999999999998E-2</v>
      </c>
      <c r="G27" s="3">
        <f t="shared" si="7"/>
        <v>0.12479999999999999</v>
      </c>
    </row>
    <row r="28" spans="1:7" x14ac:dyDescent="0.4">
      <c r="A28" s="25">
        <v>10</v>
      </c>
      <c r="B28">
        <f t="shared" si="3"/>
        <v>10</v>
      </c>
      <c r="C28">
        <f t="shared" si="4"/>
        <v>0</v>
      </c>
      <c r="D28">
        <f t="shared" si="5"/>
        <v>0</v>
      </c>
      <c r="F28" s="3">
        <f t="shared" si="6"/>
        <v>7.8719999999999998E-2</v>
      </c>
      <c r="G28" s="3">
        <f t="shared" si="7"/>
        <v>0.12479999999999999</v>
      </c>
    </row>
    <row r="29" spans="1:7" x14ac:dyDescent="0.4">
      <c r="A29" s="25">
        <v>11</v>
      </c>
      <c r="B29">
        <f t="shared" si="3"/>
        <v>10</v>
      </c>
      <c r="C29">
        <f t="shared" si="4"/>
        <v>1</v>
      </c>
      <c r="D29">
        <f t="shared" si="5"/>
        <v>0</v>
      </c>
      <c r="F29" s="3">
        <f t="shared" si="6"/>
        <v>7.7759999999999996E-2</v>
      </c>
      <c r="G29" s="3">
        <f t="shared" si="7"/>
        <v>0.12296727272727273</v>
      </c>
    </row>
    <row r="30" spans="1:7" x14ac:dyDescent="0.4">
      <c r="A30" s="25">
        <v>12</v>
      </c>
      <c r="B30">
        <f t="shared" si="3"/>
        <v>10</v>
      </c>
      <c r="C30">
        <f t="shared" si="4"/>
        <v>2</v>
      </c>
      <c r="D30">
        <f t="shared" si="5"/>
        <v>0</v>
      </c>
      <c r="F30" s="3">
        <f t="shared" si="6"/>
        <v>7.6960000000000001E-2</v>
      </c>
      <c r="G30" s="3">
        <f t="shared" si="7"/>
        <v>0.12143999999999999</v>
      </c>
    </row>
    <row r="31" spans="1:7" x14ac:dyDescent="0.4">
      <c r="A31" s="25">
        <v>13</v>
      </c>
      <c r="B31">
        <f t="shared" si="3"/>
        <v>10</v>
      </c>
      <c r="C31">
        <f t="shared" si="4"/>
        <v>3</v>
      </c>
      <c r="D31">
        <f t="shared" si="5"/>
        <v>0</v>
      </c>
      <c r="F31" s="3">
        <f t="shared" si="6"/>
        <v>7.6283076923076912E-2</v>
      </c>
      <c r="G31" s="3">
        <f t="shared" si="7"/>
        <v>0.1201476923076923</v>
      </c>
    </row>
    <row r="32" spans="1:7" x14ac:dyDescent="0.4">
      <c r="A32" s="25">
        <v>14</v>
      </c>
      <c r="B32">
        <f t="shared" si="3"/>
        <v>10</v>
      </c>
      <c r="C32">
        <f t="shared" si="4"/>
        <v>4</v>
      </c>
      <c r="D32">
        <f t="shared" si="5"/>
        <v>0</v>
      </c>
      <c r="F32" s="3">
        <f t="shared" si="6"/>
        <v>7.5702857142857141E-2</v>
      </c>
      <c r="G32" s="3">
        <f t="shared" si="7"/>
        <v>0.11904000000000001</v>
      </c>
    </row>
    <row r="33" spans="1:7" x14ac:dyDescent="0.4">
      <c r="A33" s="25">
        <v>15</v>
      </c>
      <c r="B33">
        <f t="shared" si="3"/>
        <v>10</v>
      </c>
      <c r="C33">
        <f t="shared" si="4"/>
        <v>5</v>
      </c>
      <c r="D33">
        <f t="shared" si="5"/>
        <v>0</v>
      </c>
      <c r="F33" s="3">
        <f t="shared" si="6"/>
        <v>7.5199999999999989E-2</v>
      </c>
      <c r="G33" s="3">
        <f t="shared" si="7"/>
        <v>0.11807999999999999</v>
      </c>
    </row>
    <row r="34" spans="1:7" x14ac:dyDescent="0.4">
      <c r="A34" s="25">
        <v>16</v>
      </c>
      <c r="B34">
        <f t="shared" si="3"/>
        <v>10</v>
      </c>
      <c r="C34">
        <f t="shared" si="4"/>
        <v>6</v>
      </c>
      <c r="D34">
        <f t="shared" si="5"/>
        <v>0</v>
      </c>
      <c r="F34" s="3">
        <f t="shared" si="6"/>
        <v>7.4759999999999993E-2</v>
      </c>
      <c r="G34" s="3">
        <f t="shared" si="7"/>
        <v>0.11724</v>
      </c>
    </row>
    <row r="35" spans="1:7" x14ac:dyDescent="0.4">
      <c r="A35" s="25">
        <v>17</v>
      </c>
      <c r="B35">
        <f t="shared" si="3"/>
        <v>10</v>
      </c>
      <c r="C35">
        <f t="shared" si="4"/>
        <v>7</v>
      </c>
      <c r="D35">
        <f t="shared" si="5"/>
        <v>0</v>
      </c>
      <c r="F35" s="3">
        <f t="shared" si="6"/>
        <v>7.4371764705882346E-2</v>
      </c>
      <c r="G35" s="3">
        <f t="shared" si="7"/>
        <v>0.11649882352941177</v>
      </c>
    </row>
    <row r="36" spans="1:7" x14ac:dyDescent="0.4">
      <c r="A36" s="25">
        <v>18</v>
      </c>
      <c r="B36">
        <f t="shared" si="3"/>
        <v>10</v>
      </c>
      <c r="C36">
        <f t="shared" si="4"/>
        <v>8</v>
      </c>
      <c r="D36">
        <f t="shared" si="5"/>
        <v>0</v>
      </c>
      <c r="F36" s="3">
        <f t="shared" si="6"/>
        <v>7.4026666666666657E-2</v>
      </c>
      <c r="G36" s="3">
        <f t="shared" si="7"/>
        <v>0.11584</v>
      </c>
    </row>
    <row r="37" spans="1:7" x14ac:dyDescent="0.4">
      <c r="A37" s="25">
        <v>19</v>
      </c>
      <c r="B37">
        <f t="shared" si="3"/>
        <v>10</v>
      </c>
      <c r="C37">
        <f t="shared" si="4"/>
        <v>9</v>
      </c>
      <c r="D37">
        <f t="shared" si="5"/>
        <v>0</v>
      </c>
      <c r="F37" s="3">
        <f t="shared" si="6"/>
        <v>7.3717894736842093E-2</v>
      </c>
      <c r="G37" s="3">
        <f t="shared" si="7"/>
        <v>0.11525052631578946</v>
      </c>
    </row>
    <row r="38" spans="1:7" x14ac:dyDescent="0.4">
      <c r="A38" s="25">
        <v>20</v>
      </c>
      <c r="B38">
        <f t="shared" si="3"/>
        <v>10</v>
      </c>
      <c r="C38">
        <f t="shared" si="4"/>
        <v>10</v>
      </c>
      <c r="D38">
        <f t="shared" si="5"/>
        <v>0</v>
      </c>
      <c r="F38" s="3">
        <f t="shared" si="6"/>
        <v>7.3439999999999991E-2</v>
      </c>
      <c r="G38" s="3">
        <f t="shared" si="7"/>
        <v>0.11472</v>
      </c>
    </row>
    <row r="39" spans="1:7" x14ac:dyDescent="0.4">
      <c r="A39" s="25">
        <v>21</v>
      </c>
      <c r="B39">
        <f t="shared" si="3"/>
        <v>10</v>
      </c>
      <c r="C39">
        <f t="shared" si="4"/>
        <v>11</v>
      </c>
      <c r="D39">
        <f t="shared" si="5"/>
        <v>0</v>
      </c>
      <c r="F39" s="3">
        <f t="shared" si="6"/>
        <v>7.3188571428571422E-2</v>
      </c>
      <c r="G39" s="3">
        <f t="shared" si="7"/>
        <v>0.11424000000000001</v>
      </c>
    </row>
    <row r="40" spans="1:7" x14ac:dyDescent="0.4">
      <c r="A40" s="25">
        <v>22</v>
      </c>
      <c r="B40">
        <f t="shared" si="3"/>
        <v>10</v>
      </c>
      <c r="C40">
        <f t="shared" si="4"/>
        <v>12</v>
      </c>
      <c r="D40">
        <f t="shared" si="5"/>
        <v>0</v>
      </c>
      <c r="F40" s="3">
        <f t="shared" si="6"/>
        <v>7.2959999999999997E-2</v>
      </c>
      <c r="G40" s="3">
        <f t="shared" si="7"/>
        <v>0.11380363636363637</v>
      </c>
    </row>
    <row r="41" spans="1:7" x14ac:dyDescent="0.4">
      <c r="A41" s="25">
        <v>23</v>
      </c>
      <c r="B41">
        <f t="shared" si="3"/>
        <v>10</v>
      </c>
      <c r="C41">
        <f t="shared" si="4"/>
        <v>13</v>
      </c>
      <c r="D41">
        <f t="shared" si="5"/>
        <v>0</v>
      </c>
      <c r="F41" s="3">
        <f t="shared" si="6"/>
        <v>7.2751304347826076E-2</v>
      </c>
      <c r="G41" s="3">
        <f t="shared" si="7"/>
        <v>0.11340521739130435</v>
      </c>
    </row>
    <row r="42" spans="1:7" x14ac:dyDescent="0.4">
      <c r="A42" s="25">
        <v>24</v>
      </c>
      <c r="B42">
        <f t="shared" si="3"/>
        <v>10</v>
      </c>
      <c r="C42">
        <f t="shared" si="4"/>
        <v>14</v>
      </c>
      <c r="D42">
        <f t="shared" si="5"/>
        <v>0</v>
      </c>
      <c r="F42" s="3">
        <f t="shared" si="6"/>
        <v>7.2559999999999999E-2</v>
      </c>
      <c r="G42" s="3">
        <f t="shared" si="7"/>
        <v>0.11303999999999999</v>
      </c>
    </row>
    <row r="43" spans="1:7" x14ac:dyDescent="0.4">
      <c r="A43" s="25">
        <v>25</v>
      </c>
      <c r="B43">
        <f t="shared" si="3"/>
        <v>10</v>
      </c>
      <c r="C43">
        <f t="shared" si="4"/>
        <v>15</v>
      </c>
      <c r="D43">
        <f t="shared" si="5"/>
        <v>0</v>
      </c>
      <c r="F43" s="3">
        <f t="shared" si="6"/>
        <v>7.238399999999999E-2</v>
      </c>
      <c r="G43" s="3">
        <f t="shared" si="7"/>
        <v>0.11270399999999998</v>
      </c>
    </row>
    <row r="44" spans="1:7" x14ac:dyDescent="0.4">
      <c r="A44" s="25">
        <v>26</v>
      </c>
      <c r="B44">
        <f t="shared" si="3"/>
        <v>10</v>
      </c>
      <c r="C44">
        <f t="shared" si="4"/>
        <v>16</v>
      </c>
      <c r="D44">
        <f t="shared" si="5"/>
        <v>0</v>
      </c>
      <c r="F44" s="3">
        <f t="shared" si="6"/>
        <v>7.2221538461538462E-2</v>
      </c>
      <c r="G44" s="3">
        <f t="shared" si="7"/>
        <v>0.11239384615384615</v>
      </c>
    </row>
    <row r="45" spans="1:7" x14ac:dyDescent="0.4">
      <c r="A45" s="25">
        <v>27</v>
      </c>
      <c r="B45">
        <f t="shared" si="3"/>
        <v>10</v>
      </c>
      <c r="C45">
        <f t="shared" si="4"/>
        <v>17</v>
      </c>
      <c r="D45">
        <f t="shared" si="5"/>
        <v>0</v>
      </c>
      <c r="F45" s="3">
        <f t="shared" si="6"/>
        <v>7.20711111111111E-2</v>
      </c>
      <c r="G45" s="3">
        <f t="shared" si="7"/>
        <v>0.11210666666666667</v>
      </c>
    </row>
    <row r="46" spans="1:7" x14ac:dyDescent="0.4">
      <c r="A46" s="25">
        <v>28</v>
      </c>
      <c r="B46">
        <f t="shared" si="3"/>
        <v>10</v>
      </c>
      <c r="C46">
        <f t="shared" si="4"/>
        <v>18</v>
      </c>
      <c r="D46">
        <f t="shared" si="5"/>
        <v>0</v>
      </c>
      <c r="F46" s="3">
        <f t="shared" si="6"/>
        <v>7.1931428571428563E-2</v>
      </c>
      <c r="G46" s="3">
        <f t="shared" si="7"/>
        <v>0.11184000000000001</v>
      </c>
    </row>
    <row r="47" spans="1:7" x14ac:dyDescent="0.4">
      <c r="A47" s="25">
        <v>29</v>
      </c>
      <c r="B47">
        <f t="shared" si="3"/>
        <v>10</v>
      </c>
      <c r="C47">
        <f t="shared" si="4"/>
        <v>19</v>
      </c>
      <c r="D47">
        <f t="shared" si="5"/>
        <v>0</v>
      </c>
      <c r="F47" s="3">
        <f t="shared" si="6"/>
        <v>7.1801379310344818E-2</v>
      </c>
      <c r="G47" s="3">
        <f t="shared" si="7"/>
        <v>0.11159172413793103</v>
      </c>
    </row>
    <row r="48" spans="1:7" x14ac:dyDescent="0.4">
      <c r="A48" s="25">
        <v>30</v>
      </c>
      <c r="B48">
        <f t="shared" si="3"/>
        <v>10</v>
      </c>
      <c r="C48">
        <f t="shared" si="4"/>
        <v>20</v>
      </c>
      <c r="D48">
        <f t="shared" si="5"/>
        <v>0</v>
      </c>
      <c r="F48" s="3">
        <f t="shared" si="6"/>
        <v>7.1679999999999994E-2</v>
      </c>
      <c r="G48" s="3">
        <f t="shared" si="7"/>
        <v>0.11135999999999999</v>
      </c>
    </row>
    <row r="49" spans="1:7" x14ac:dyDescent="0.4">
      <c r="A49" s="25">
        <v>31</v>
      </c>
      <c r="B49">
        <f t="shared" si="3"/>
        <v>10</v>
      </c>
      <c r="C49">
        <f t="shared" si="4"/>
        <v>21</v>
      </c>
      <c r="D49">
        <f t="shared" si="5"/>
        <v>0</v>
      </c>
      <c r="F49" s="3">
        <f t="shared" si="6"/>
        <v>7.1566451612903217E-2</v>
      </c>
      <c r="G49" s="3">
        <f t="shared" si="7"/>
        <v>0.1111432258064516</v>
      </c>
    </row>
    <row r="50" spans="1:7" x14ac:dyDescent="0.4">
      <c r="A50" s="25">
        <v>32</v>
      </c>
      <c r="B50">
        <f t="shared" si="3"/>
        <v>10</v>
      </c>
      <c r="C50">
        <f t="shared" si="4"/>
        <v>22</v>
      </c>
      <c r="D50">
        <f t="shared" si="5"/>
        <v>0</v>
      </c>
      <c r="F50" s="3">
        <f t="shared" si="6"/>
        <v>7.1459999999999996E-2</v>
      </c>
      <c r="G50" s="3">
        <f t="shared" si="7"/>
        <v>0.11094000000000001</v>
      </c>
    </row>
    <row r="51" spans="1:7" x14ac:dyDescent="0.4">
      <c r="A51" s="25">
        <v>33</v>
      </c>
      <c r="B51">
        <f t="shared" si="3"/>
        <v>10</v>
      </c>
      <c r="C51">
        <f t="shared" si="4"/>
        <v>23</v>
      </c>
      <c r="D51">
        <f t="shared" si="5"/>
        <v>0</v>
      </c>
      <c r="F51" s="3">
        <f t="shared" si="6"/>
        <v>7.1359999999999993E-2</v>
      </c>
      <c r="G51" s="3">
        <f t="shared" si="7"/>
        <v>0.11074909090909091</v>
      </c>
    </row>
    <row r="52" spans="1:7" x14ac:dyDescent="0.4">
      <c r="A52" s="25">
        <v>34</v>
      </c>
      <c r="B52">
        <f t="shared" si="3"/>
        <v>10</v>
      </c>
      <c r="C52">
        <f t="shared" si="4"/>
        <v>24</v>
      </c>
      <c r="D52">
        <f t="shared" si="5"/>
        <v>0</v>
      </c>
      <c r="F52" s="3">
        <f t="shared" si="6"/>
        <v>7.1265882352941165E-2</v>
      </c>
      <c r="G52" s="3">
        <f t="shared" si="7"/>
        <v>0.11056941176470589</v>
      </c>
    </row>
    <row r="53" spans="1:7" x14ac:dyDescent="0.4">
      <c r="A53" s="25">
        <v>35</v>
      </c>
      <c r="B53">
        <f t="shared" si="3"/>
        <v>10</v>
      </c>
      <c r="C53">
        <f t="shared" si="4"/>
        <v>25</v>
      </c>
      <c r="D53">
        <f t="shared" si="5"/>
        <v>0</v>
      </c>
      <c r="F53" s="3">
        <f t="shared" si="6"/>
        <v>7.1177142857142842E-2</v>
      </c>
      <c r="G53" s="3">
        <f t="shared" si="7"/>
        <v>0.1104</v>
      </c>
    </row>
    <row r="54" spans="1:7" x14ac:dyDescent="0.4">
      <c r="A54" s="25">
        <v>36</v>
      </c>
      <c r="B54">
        <f t="shared" si="3"/>
        <v>10</v>
      </c>
      <c r="C54">
        <f t="shared" si="4"/>
        <v>26</v>
      </c>
      <c r="D54">
        <f t="shared" si="5"/>
        <v>0</v>
      </c>
      <c r="F54" s="3">
        <f t="shared" si="6"/>
        <v>7.1093333333333314E-2</v>
      </c>
      <c r="G54" s="3">
        <f t="shared" si="7"/>
        <v>0.11023999999999999</v>
      </c>
    </row>
    <row r="55" spans="1:7" x14ac:dyDescent="0.4">
      <c r="A55" s="25">
        <v>37</v>
      </c>
      <c r="B55">
        <f t="shared" si="3"/>
        <v>10</v>
      </c>
      <c r="C55">
        <f t="shared" si="4"/>
        <v>27</v>
      </c>
      <c r="D55">
        <f t="shared" si="5"/>
        <v>0</v>
      </c>
      <c r="F55" s="3">
        <f t="shared" si="6"/>
        <v>7.1014054054054046E-2</v>
      </c>
      <c r="G55" s="3">
        <f t="shared" si="7"/>
        <v>0.11008864864864863</v>
      </c>
    </row>
    <row r="56" spans="1:7" x14ac:dyDescent="0.4">
      <c r="A56" s="25">
        <v>38</v>
      </c>
      <c r="B56">
        <f t="shared" si="3"/>
        <v>10</v>
      </c>
      <c r="C56">
        <f t="shared" si="4"/>
        <v>28</v>
      </c>
      <c r="D56">
        <f t="shared" si="5"/>
        <v>0</v>
      </c>
      <c r="F56" s="3">
        <f t="shared" si="6"/>
        <v>7.0938947368421032E-2</v>
      </c>
      <c r="G56" s="3">
        <f t="shared" si="7"/>
        <v>0.10994526315789474</v>
      </c>
    </row>
    <row r="57" spans="1:7" x14ac:dyDescent="0.4">
      <c r="A57" s="25">
        <v>39</v>
      </c>
      <c r="B57">
        <f t="shared" si="3"/>
        <v>10</v>
      </c>
      <c r="C57">
        <f t="shared" si="4"/>
        <v>29</v>
      </c>
      <c r="D57">
        <f t="shared" si="5"/>
        <v>0</v>
      </c>
      <c r="F57" s="3">
        <f t="shared" si="6"/>
        <v>7.0867692307692298E-2</v>
      </c>
      <c r="G57" s="3">
        <f t="shared" si="7"/>
        <v>0.10980923076923077</v>
      </c>
    </row>
    <row r="58" spans="1:7" x14ac:dyDescent="0.4">
      <c r="A58" s="25">
        <v>40</v>
      </c>
      <c r="B58">
        <f t="shared" si="3"/>
        <v>10</v>
      </c>
      <c r="C58">
        <f t="shared" si="4"/>
        <v>30</v>
      </c>
      <c r="D58">
        <f t="shared" si="5"/>
        <v>0</v>
      </c>
      <c r="F58" s="3">
        <f t="shared" si="6"/>
        <v>7.0799999999999988E-2</v>
      </c>
      <c r="G58" s="3">
        <f t="shared" si="7"/>
        <v>0.10968</v>
      </c>
    </row>
    <row r="59" spans="1:7" x14ac:dyDescent="0.4">
      <c r="A59" s="25">
        <v>41</v>
      </c>
      <c r="B59">
        <f t="shared" si="3"/>
        <v>10</v>
      </c>
      <c r="C59">
        <f t="shared" si="4"/>
        <v>30</v>
      </c>
      <c r="D59">
        <f t="shared" si="5"/>
        <v>1</v>
      </c>
      <c r="F59" s="3">
        <f t="shared" si="6"/>
        <v>7.0431219512195109E-2</v>
      </c>
      <c r="G59" s="3">
        <f t="shared" si="7"/>
        <v>0.1095570731707317</v>
      </c>
    </row>
    <row r="60" spans="1:7" x14ac:dyDescent="0.4">
      <c r="A60" s="25">
        <v>42</v>
      </c>
      <c r="B60">
        <f t="shared" si="3"/>
        <v>10</v>
      </c>
      <c r="C60">
        <f t="shared" si="4"/>
        <v>30</v>
      </c>
      <c r="D60">
        <f t="shared" si="5"/>
        <v>2</v>
      </c>
      <c r="F60" s="3">
        <f t="shared" si="6"/>
        <v>7.007999999999999E-2</v>
      </c>
      <c r="G60" s="3">
        <f t="shared" si="7"/>
        <v>0.10944</v>
      </c>
    </row>
    <row r="61" spans="1:7" x14ac:dyDescent="0.4">
      <c r="A61" s="25">
        <v>43</v>
      </c>
      <c r="B61">
        <f t="shared" si="3"/>
        <v>10</v>
      </c>
      <c r="C61">
        <f t="shared" si="4"/>
        <v>30</v>
      </c>
      <c r="D61">
        <f t="shared" si="5"/>
        <v>3</v>
      </c>
      <c r="F61" s="3">
        <f t="shared" si="6"/>
        <v>6.9745116279069749E-2</v>
      </c>
      <c r="G61" s="3">
        <f t="shared" si="7"/>
        <v>0.10932837209302325</v>
      </c>
    </row>
    <row r="62" spans="1:7" x14ac:dyDescent="0.4">
      <c r="A62" s="25">
        <v>44</v>
      </c>
      <c r="B62">
        <f t="shared" si="3"/>
        <v>10</v>
      </c>
      <c r="C62">
        <f t="shared" si="4"/>
        <v>30</v>
      </c>
      <c r="D62">
        <f t="shared" si="5"/>
        <v>4</v>
      </c>
      <c r="F62" s="3">
        <f t="shared" si="6"/>
        <v>6.9425454545454526E-2</v>
      </c>
      <c r="G62" s="3">
        <f t="shared" si="7"/>
        <v>0.10922181818181818</v>
      </c>
    </row>
    <row r="63" spans="1:7" x14ac:dyDescent="0.4">
      <c r="A63" s="25">
        <v>45</v>
      </c>
      <c r="B63">
        <f t="shared" si="3"/>
        <v>10</v>
      </c>
      <c r="C63">
        <f t="shared" si="4"/>
        <v>30</v>
      </c>
      <c r="D63">
        <f t="shared" si="5"/>
        <v>5</v>
      </c>
      <c r="F63" s="3">
        <f t="shared" si="6"/>
        <v>6.9119999999999987E-2</v>
      </c>
      <c r="G63" s="3">
        <f t="shared" si="7"/>
        <v>0.10912000000000001</v>
      </c>
    </row>
    <row r="64" spans="1:7" x14ac:dyDescent="0.4">
      <c r="A64" s="25">
        <v>46</v>
      </c>
      <c r="B64">
        <f t="shared" si="3"/>
        <v>10</v>
      </c>
      <c r="C64">
        <f t="shared" si="4"/>
        <v>30</v>
      </c>
      <c r="D64">
        <f t="shared" si="5"/>
        <v>6</v>
      </c>
      <c r="F64" s="3">
        <f t="shared" si="6"/>
        <v>6.8827826086956506E-2</v>
      </c>
      <c r="G64" s="3">
        <f t="shared" si="7"/>
        <v>0.10902260869565217</v>
      </c>
    </row>
    <row r="65" spans="1:7" x14ac:dyDescent="0.4">
      <c r="A65" s="25">
        <v>47</v>
      </c>
      <c r="B65">
        <f t="shared" si="3"/>
        <v>10</v>
      </c>
      <c r="C65">
        <f t="shared" si="4"/>
        <v>30</v>
      </c>
      <c r="D65">
        <f t="shared" si="5"/>
        <v>7</v>
      </c>
      <c r="F65" s="3">
        <f t="shared" si="6"/>
        <v>6.8548085106382967E-2</v>
      </c>
      <c r="G65" s="3">
        <f t="shared" si="7"/>
        <v>0.10892936170212765</v>
      </c>
    </row>
    <row r="66" spans="1:7" x14ac:dyDescent="0.4">
      <c r="A66" s="25">
        <v>48</v>
      </c>
      <c r="B66">
        <f t="shared" si="3"/>
        <v>10</v>
      </c>
      <c r="C66">
        <f t="shared" si="4"/>
        <v>30</v>
      </c>
      <c r="D66">
        <f t="shared" si="5"/>
        <v>8</v>
      </c>
      <c r="F66" s="3">
        <f t="shared" si="6"/>
        <v>6.8279999999999993E-2</v>
      </c>
      <c r="G66" s="3">
        <f t="shared" si="7"/>
        <v>0.10883999999999999</v>
      </c>
    </row>
    <row r="67" spans="1:7" x14ac:dyDescent="0.4">
      <c r="A67" s="25">
        <v>49</v>
      </c>
      <c r="B67">
        <f t="shared" si="3"/>
        <v>10</v>
      </c>
      <c r="C67">
        <f t="shared" si="4"/>
        <v>30</v>
      </c>
      <c r="D67">
        <f t="shared" si="5"/>
        <v>9</v>
      </c>
      <c r="F67" s="3">
        <f t="shared" si="6"/>
        <v>6.8022857142857121E-2</v>
      </c>
      <c r="G67" s="3">
        <f t="shared" si="7"/>
        <v>0.10875428571428572</v>
      </c>
    </row>
    <row r="68" spans="1:7" x14ac:dyDescent="0.4">
      <c r="A68" s="25">
        <v>50</v>
      </c>
      <c r="B68">
        <f t="shared" si="3"/>
        <v>10</v>
      </c>
      <c r="C68">
        <f t="shared" si="4"/>
        <v>30</v>
      </c>
      <c r="D68">
        <f t="shared" si="5"/>
        <v>10</v>
      </c>
      <c r="F68" s="3">
        <f t="shared" si="6"/>
        <v>6.7775999999999989E-2</v>
      </c>
      <c r="G68" s="3">
        <f t="shared" si="7"/>
        <v>0.108672</v>
      </c>
    </row>
    <row r="69" spans="1:7" x14ac:dyDescent="0.4">
      <c r="A69" s="25">
        <v>51</v>
      </c>
      <c r="B69">
        <f t="shared" si="3"/>
        <v>10</v>
      </c>
      <c r="C69">
        <f t="shared" si="4"/>
        <v>30</v>
      </c>
      <c r="D69">
        <f t="shared" si="5"/>
        <v>11</v>
      </c>
      <c r="F69" s="3">
        <f t="shared" si="6"/>
        <v>6.7538823529411762E-2</v>
      </c>
      <c r="G69" s="3">
        <f t="shared" si="7"/>
        <v>0.10859294117647059</v>
      </c>
    </row>
    <row r="70" spans="1:7" x14ac:dyDescent="0.4">
      <c r="A70" s="25">
        <v>52</v>
      </c>
      <c r="B70">
        <f t="shared" si="3"/>
        <v>10</v>
      </c>
      <c r="C70">
        <f t="shared" si="4"/>
        <v>30</v>
      </c>
      <c r="D70">
        <f t="shared" si="5"/>
        <v>12</v>
      </c>
      <c r="F70" s="3">
        <f t="shared" si="6"/>
        <v>6.7310769230769216E-2</v>
      </c>
      <c r="G70" s="3">
        <f t="shared" si="7"/>
        <v>0.10851692307692308</v>
      </c>
    </row>
    <row r="71" spans="1:7" x14ac:dyDescent="0.4">
      <c r="A71" s="25">
        <v>53</v>
      </c>
      <c r="B71">
        <f t="shared" si="3"/>
        <v>10</v>
      </c>
      <c r="C71">
        <f t="shared" si="4"/>
        <v>30</v>
      </c>
      <c r="D71">
        <f t="shared" si="5"/>
        <v>13</v>
      </c>
      <c r="F71" s="3">
        <f t="shared" si="6"/>
        <v>6.7091320754716965E-2</v>
      </c>
      <c r="G71" s="3">
        <f t="shared" si="7"/>
        <v>0.10844377358490566</v>
      </c>
    </row>
    <row r="72" spans="1:7" x14ac:dyDescent="0.4">
      <c r="A72" s="25">
        <v>54</v>
      </c>
      <c r="B72">
        <f t="shared" si="3"/>
        <v>10</v>
      </c>
      <c r="C72">
        <f t="shared" si="4"/>
        <v>30</v>
      </c>
      <c r="D72">
        <f t="shared" si="5"/>
        <v>14</v>
      </c>
      <c r="F72" s="3">
        <f t="shared" si="6"/>
        <v>6.6879999999999995E-2</v>
      </c>
      <c r="G72" s="3">
        <f t="shared" si="7"/>
        <v>0.10837333333333332</v>
      </c>
    </row>
    <row r="73" spans="1:7" x14ac:dyDescent="0.4">
      <c r="A73" s="25">
        <v>55</v>
      </c>
      <c r="B73">
        <f t="shared" si="3"/>
        <v>10</v>
      </c>
      <c r="C73">
        <f t="shared" si="4"/>
        <v>30</v>
      </c>
      <c r="D73">
        <f t="shared" si="5"/>
        <v>15</v>
      </c>
      <c r="F73" s="3">
        <f t="shared" si="6"/>
        <v>6.6676363636363631E-2</v>
      </c>
      <c r="G73" s="3">
        <f t="shared" si="7"/>
        <v>0.10830545454545454</v>
      </c>
    </row>
    <row r="74" spans="1:7" x14ac:dyDescent="0.4">
      <c r="A74" s="25">
        <v>56</v>
      </c>
      <c r="B74">
        <f t="shared" si="3"/>
        <v>10</v>
      </c>
      <c r="C74">
        <f t="shared" si="4"/>
        <v>30</v>
      </c>
      <c r="D74">
        <f t="shared" si="5"/>
        <v>16</v>
      </c>
      <c r="F74" s="3">
        <f t="shared" si="6"/>
        <v>6.6479999999999997E-2</v>
      </c>
      <c r="G74" s="3">
        <f t="shared" si="7"/>
        <v>0.10824</v>
      </c>
    </row>
    <row r="75" spans="1:7" x14ac:dyDescent="0.4">
      <c r="A75" s="25">
        <v>57</v>
      </c>
      <c r="B75">
        <f t="shared" si="3"/>
        <v>10</v>
      </c>
      <c r="C75">
        <f t="shared" si="4"/>
        <v>30</v>
      </c>
      <c r="D75">
        <f t="shared" si="5"/>
        <v>17</v>
      </c>
      <c r="F75" s="3">
        <f t="shared" si="6"/>
        <v>6.6290526315789466E-2</v>
      </c>
      <c r="G75" s="3">
        <f t="shared" si="7"/>
        <v>0.10817684210526315</v>
      </c>
    </row>
    <row r="76" spans="1:7" x14ac:dyDescent="0.4">
      <c r="A76" s="25">
        <v>58</v>
      </c>
      <c r="B76">
        <f t="shared" si="3"/>
        <v>10</v>
      </c>
      <c r="C76">
        <f t="shared" si="4"/>
        <v>30</v>
      </c>
      <c r="D76">
        <f t="shared" si="5"/>
        <v>18</v>
      </c>
      <c r="F76" s="3">
        <f t="shared" si="6"/>
        <v>6.6107586206896538E-2</v>
      </c>
      <c r="G76" s="3">
        <f t="shared" si="7"/>
        <v>0.10811586206896552</v>
      </c>
    </row>
    <row r="77" spans="1:7" x14ac:dyDescent="0.4">
      <c r="A77" s="25">
        <v>59</v>
      </c>
      <c r="B77">
        <f t="shared" si="3"/>
        <v>10</v>
      </c>
      <c r="C77">
        <f t="shared" si="4"/>
        <v>30</v>
      </c>
      <c r="D77">
        <f t="shared" si="5"/>
        <v>19</v>
      </c>
      <c r="F77" s="3">
        <f t="shared" si="6"/>
        <v>6.5930847457627104E-2</v>
      </c>
      <c r="G77" s="3">
        <f t="shared" si="7"/>
        <v>0.10805694915254237</v>
      </c>
    </row>
    <row r="78" spans="1:7" x14ac:dyDescent="0.4">
      <c r="A78" s="25">
        <v>60</v>
      </c>
      <c r="B78">
        <f t="shared" si="3"/>
        <v>10</v>
      </c>
      <c r="C78">
        <f t="shared" si="4"/>
        <v>30</v>
      </c>
      <c r="D78">
        <f t="shared" si="5"/>
        <v>20</v>
      </c>
      <c r="F78" s="3">
        <f t="shared" si="6"/>
        <v>6.5759999999999985E-2</v>
      </c>
      <c r="G78" s="3">
        <f t="shared" si="7"/>
        <v>0.10800000000000001</v>
      </c>
    </row>
    <row r="79" spans="1:7" x14ac:dyDescent="0.4">
      <c r="A79" s="25">
        <v>61</v>
      </c>
      <c r="B79">
        <f t="shared" si="3"/>
        <v>10</v>
      </c>
      <c r="C79">
        <f t="shared" si="4"/>
        <v>30</v>
      </c>
      <c r="D79">
        <f t="shared" si="5"/>
        <v>21</v>
      </c>
      <c r="F79" s="3">
        <f t="shared" si="6"/>
        <v>6.5594754098360644E-2</v>
      </c>
      <c r="G79" s="3">
        <f t="shared" si="7"/>
        <v>0.10794491803278689</v>
      </c>
    </row>
    <row r="80" spans="1:7" x14ac:dyDescent="0.4">
      <c r="A80" s="25">
        <v>62</v>
      </c>
      <c r="B80">
        <f t="shared" si="3"/>
        <v>10</v>
      </c>
      <c r="C80">
        <f t="shared" si="4"/>
        <v>30</v>
      </c>
      <c r="D80">
        <f t="shared" si="5"/>
        <v>22</v>
      </c>
      <c r="F80" s="3">
        <f t="shared" si="6"/>
        <v>6.5434838709677409E-2</v>
      </c>
      <c r="G80" s="3">
        <f t="shared" si="7"/>
        <v>0.10789161290322581</v>
      </c>
    </row>
    <row r="81" spans="1:7" x14ac:dyDescent="0.4">
      <c r="A81" s="25">
        <v>63</v>
      </c>
      <c r="B81">
        <f t="shared" si="3"/>
        <v>10</v>
      </c>
      <c r="C81">
        <f t="shared" si="4"/>
        <v>30</v>
      </c>
      <c r="D81">
        <f t="shared" si="5"/>
        <v>23</v>
      </c>
      <c r="F81" s="3">
        <f t="shared" si="6"/>
        <v>6.5279999999999977E-2</v>
      </c>
      <c r="G81" s="3">
        <f t="shared" si="7"/>
        <v>0.10784000000000001</v>
      </c>
    </row>
    <row r="82" spans="1:7" x14ac:dyDescent="0.4">
      <c r="A82" s="25">
        <v>64</v>
      </c>
      <c r="B82">
        <f t="shared" si="3"/>
        <v>10</v>
      </c>
      <c r="C82">
        <f t="shared" si="4"/>
        <v>30</v>
      </c>
      <c r="D82">
        <f t="shared" si="5"/>
        <v>24</v>
      </c>
      <c r="F82" s="3">
        <f t="shared" si="6"/>
        <v>6.5129999999999993E-2</v>
      </c>
      <c r="G82" s="3">
        <f t="shared" si="7"/>
        <v>0.10779</v>
      </c>
    </row>
    <row r="83" spans="1:7" x14ac:dyDescent="0.4">
      <c r="A83" s="25">
        <v>65</v>
      </c>
      <c r="B83">
        <f t="shared" si="3"/>
        <v>10</v>
      </c>
      <c r="C83">
        <f t="shared" si="4"/>
        <v>30</v>
      </c>
      <c r="D83">
        <f t="shared" si="5"/>
        <v>25</v>
      </c>
      <c r="F83" s="3">
        <f t="shared" si="6"/>
        <v>6.4984615384615377E-2</v>
      </c>
      <c r="G83" s="3">
        <f t="shared" si="7"/>
        <v>0.10774153846153846</v>
      </c>
    </row>
    <row r="84" spans="1:7" x14ac:dyDescent="0.4">
      <c r="A84" s="25">
        <v>66</v>
      </c>
      <c r="B84">
        <f t="shared" ref="B84:B118" si="8">IF($A84&lt;10,$A84,10)</f>
        <v>10</v>
      </c>
      <c r="C84">
        <f t="shared" ref="C84:C118" si="9">IF($A84&lt;10,0,IF($A84&gt;40,30,$A84-10))</f>
        <v>30</v>
      </c>
      <c r="D84">
        <f t="shared" ref="D84:D118" si="10">IF(A84&lt;40,0,A84-40)</f>
        <v>26</v>
      </c>
      <c r="F84" s="3">
        <f t="shared" ref="F84:F118" si="11">(B84*B$13+C84*C$13+D84*D$13)/$A84</f>
        <v>6.4843636363636353E-2</v>
      </c>
      <c r="G84" s="3">
        <f t="shared" ref="G84:G118" si="12">(B84*B$14+C84*C$14+D84*D$14)/$A84</f>
        <v>0.10769454545454545</v>
      </c>
    </row>
    <row r="85" spans="1:7" x14ac:dyDescent="0.4">
      <c r="A85" s="25">
        <v>67</v>
      </c>
      <c r="B85">
        <f t="shared" si="8"/>
        <v>10</v>
      </c>
      <c r="C85">
        <f t="shared" si="9"/>
        <v>30</v>
      </c>
      <c r="D85">
        <f t="shared" si="10"/>
        <v>27</v>
      </c>
      <c r="F85" s="3">
        <f t="shared" si="11"/>
        <v>6.4706865671641786E-2</v>
      </c>
      <c r="G85" s="3">
        <f t="shared" si="12"/>
        <v>0.10764895522388059</v>
      </c>
    </row>
    <row r="86" spans="1:7" x14ac:dyDescent="0.4">
      <c r="A86" s="25">
        <v>68</v>
      </c>
      <c r="B86">
        <f t="shared" si="8"/>
        <v>10</v>
      </c>
      <c r="C86">
        <f t="shared" si="9"/>
        <v>30</v>
      </c>
      <c r="D86">
        <f t="shared" si="10"/>
        <v>28</v>
      </c>
      <c r="F86" s="3">
        <f t="shared" si="11"/>
        <v>6.457411764705881E-2</v>
      </c>
      <c r="G86" s="3">
        <f t="shared" si="12"/>
        <v>0.10760470588235294</v>
      </c>
    </row>
    <row r="87" spans="1:7" x14ac:dyDescent="0.4">
      <c r="A87" s="25">
        <v>69</v>
      </c>
      <c r="B87">
        <f t="shared" si="8"/>
        <v>10</v>
      </c>
      <c r="C87">
        <f t="shared" si="9"/>
        <v>30</v>
      </c>
      <c r="D87">
        <f t="shared" si="10"/>
        <v>29</v>
      </c>
      <c r="F87" s="3">
        <f t="shared" si="11"/>
        <v>6.4445217391304335E-2</v>
      </c>
      <c r="G87" s="3">
        <f t="shared" si="12"/>
        <v>0.10756173913043478</v>
      </c>
    </row>
    <row r="88" spans="1:7" x14ac:dyDescent="0.4">
      <c r="A88" s="25">
        <v>70</v>
      </c>
      <c r="B88">
        <f t="shared" si="8"/>
        <v>10</v>
      </c>
      <c r="C88">
        <f t="shared" si="9"/>
        <v>30</v>
      </c>
      <c r="D88">
        <f t="shared" si="10"/>
        <v>30</v>
      </c>
      <c r="F88" s="3">
        <f t="shared" si="11"/>
        <v>6.4320000000000002E-2</v>
      </c>
      <c r="G88" s="3">
        <f t="shared" si="12"/>
        <v>0.10751999999999999</v>
      </c>
    </row>
    <row r="89" spans="1:7" x14ac:dyDescent="0.4">
      <c r="A89" s="25">
        <v>71</v>
      </c>
      <c r="B89">
        <f t="shared" si="8"/>
        <v>10</v>
      </c>
      <c r="C89">
        <f t="shared" si="9"/>
        <v>30</v>
      </c>
      <c r="D89">
        <f t="shared" si="10"/>
        <v>31</v>
      </c>
      <c r="F89" s="3">
        <f t="shared" si="11"/>
        <v>6.4198309859154923E-2</v>
      </c>
      <c r="G89" s="3">
        <f t="shared" si="12"/>
        <v>0.10747943661971832</v>
      </c>
    </row>
    <row r="90" spans="1:7" x14ac:dyDescent="0.4">
      <c r="A90" s="25">
        <v>72</v>
      </c>
      <c r="B90">
        <f t="shared" si="8"/>
        <v>10</v>
      </c>
      <c r="C90">
        <f t="shared" si="9"/>
        <v>30</v>
      </c>
      <c r="D90">
        <f t="shared" si="10"/>
        <v>32</v>
      </c>
      <c r="F90" s="3">
        <f t="shared" si="11"/>
        <v>6.4079999999999984E-2</v>
      </c>
      <c r="G90" s="3">
        <f t="shared" si="12"/>
        <v>0.10744000000000001</v>
      </c>
    </row>
    <row r="91" spans="1:7" x14ac:dyDescent="0.4">
      <c r="A91" s="25">
        <v>73</v>
      </c>
      <c r="B91">
        <f t="shared" si="8"/>
        <v>10</v>
      </c>
      <c r="C91">
        <f t="shared" si="9"/>
        <v>30</v>
      </c>
      <c r="D91">
        <f t="shared" si="10"/>
        <v>33</v>
      </c>
      <c r="F91" s="3">
        <f t="shared" si="11"/>
        <v>6.3964931506849315E-2</v>
      </c>
      <c r="G91" s="3">
        <f t="shared" si="12"/>
        <v>0.10740164383561644</v>
      </c>
    </row>
    <row r="92" spans="1:7" x14ac:dyDescent="0.4">
      <c r="A92" s="25">
        <v>74</v>
      </c>
      <c r="B92">
        <f t="shared" si="8"/>
        <v>10</v>
      </c>
      <c r="C92">
        <f t="shared" si="9"/>
        <v>30</v>
      </c>
      <c r="D92">
        <f t="shared" si="10"/>
        <v>34</v>
      </c>
      <c r="F92" s="3">
        <f t="shared" si="11"/>
        <v>6.385297297297296E-2</v>
      </c>
      <c r="G92" s="3">
        <f t="shared" si="12"/>
        <v>0.10736432432432433</v>
      </c>
    </row>
    <row r="93" spans="1:7" x14ac:dyDescent="0.4">
      <c r="A93" s="25">
        <v>75</v>
      </c>
      <c r="B93">
        <f t="shared" si="8"/>
        <v>10</v>
      </c>
      <c r="C93">
        <f t="shared" si="9"/>
        <v>30</v>
      </c>
      <c r="D93">
        <f t="shared" si="10"/>
        <v>35</v>
      </c>
      <c r="F93" s="3">
        <f t="shared" si="11"/>
        <v>6.3743999999999995E-2</v>
      </c>
      <c r="G93" s="3">
        <f t="shared" si="12"/>
        <v>0.10732799999999999</v>
      </c>
    </row>
    <row r="94" spans="1:7" x14ac:dyDescent="0.4">
      <c r="A94" s="25">
        <v>76</v>
      </c>
      <c r="B94">
        <f t="shared" si="8"/>
        <v>10</v>
      </c>
      <c r="C94">
        <f t="shared" si="9"/>
        <v>30</v>
      </c>
      <c r="D94">
        <f t="shared" si="10"/>
        <v>36</v>
      </c>
      <c r="F94" s="3">
        <f t="shared" si="11"/>
        <v>6.3637894736842102E-2</v>
      </c>
      <c r="G94" s="3">
        <f t="shared" si="12"/>
        <v>0.10729263157894736</v>
      </c>
    </row>
    <row r="95" spans="1:7" x14ac:dyDescent="0.4">
      <c r="A95" s="25">
        <v>77</v>
      </c>
      <c r="B95">
        <f t="shared" si="8"/>
        <v>10</v>
      </c>
      <c r="C95">
        <f t="shared" si="9"/>
        <v>30</v>
      </c>
      <c r="D95">
        <f t="shared" si="10"/>
        <v>37</v>
      </c>
      <c r="F95" s="3">
        <f t="shared" si="11"/>
        <v>6.3534545454545455E-2</v>
      </c>
      <c r="G95" s="3">
        <f t="shared" si="12"/>
        <v>0.10725818181818181</v>
      </c>
    </row>
    <row r="96" spans="1:7" x14ac:dyDescent="0.4">
      <c r="A96" s="25">
        <v>78</v>
      </c>
      <c r="B96">
        <f t="shared" si="8"/>
        <v>10</v>
      </c>
      <c r="C96">
        <f t="shared" si="9"/>
        <v>30</v>
      </c>
      <c r="D96">
        <f t="shared" si="10"/>
        <v>38</v>
      </c>
      <c r="F96" s="3">
        <f t="shared" si="11"/>
        <v>6.3433846153846146E-2</v>
      </c>
      <c r="G96" s="3">
        <f t="shared" si="12"/>
        <v>0.10722461538461538</v>
      </c>
    </row>
    <row r="97" spans="1:7" x14ac:dyDescent="0.4">
      <c r="A97" s="25">
        <v>79</v>
      </c>
      <c r="B97">
        <f t="shared" si="8"/>
        <v>10</v>
      </c>
      <c r="C97">
        <f t="shared" si="9"/>
        <v>30</v>
      </c>
      <c r="D97">
        <f t="shared" si="10"/>
        <v>39</v>
      </c>
      <c r="F97" s="3">
        <f t="shared" si="11"/>
        <v>6.3335696202531641E-2</v>
      </c>
      <c r="G97" s="3">
        <f t="shared" si="12"/>
        <v>0.10719189873417723</v>
      </c>
    </row>
    <row r="98" spans="1:7" x14ac:dyDescent="0.4">
      <c r="A98" s="25">
        <v>80</v>
      </c>
      <c r="B98">
        <f t="shared" si="8"/>
        <v>10</v>
      </c>
      <c r="C98">
        <f t="shared" si="9"/>
        <v>30</v>
      </c>
      <c r="D98">
        <f t="shared" si="10"/>
        <v>40</v>
      </c>
      <c r="F98" s="3">
        <f t="shared" si="11"/>
        <v>6.3239999999999991E-2</v>
      </c>
      <c r="G98" s="3">
        <f t="shared" si="12"/>
        <v>0.10716000000000001</v>
      </c>
    </row>
    <row r="99" spans="1:7" x14ac:dyDescent="0.4">
      <c r="A99" s="25">
        <v>81</v>
      </c>
      <c r="B99">
        <f t="shared" si="8"/>
        <v>10</v>
      </c>
      <c r="C99">
        <f t="shared" si="9"/>
        <v>30</v>
      </c>
      <c r="D99">
        <f t="shared" si="10"/>
        <v>41</v>
      </c>
      <c r="F99" s="3">
        <f t="shared" si="11"/>
        <v>6.3146666666666657E-2</v>
      </c>
      <c r="G99" s="3">
        <f t="shared" si="12"/>
        <v>0.1071288888888889</v>
      </c>
    </row>
    <row r="100" spans="1:7" x14ac:dyDescent="0.4">
      <c r="A100" s="25">
        <v>82</v>
      </c>
      <c r="B100">
        <f t="shared" si="8"/>
        <v>10</v>
      </c>
      <c r="C100">
        <f t="shared" si="9"/>
        <v>30</v>
      </c>
      <c r="D100">
        <f t="shared" si="10"/>
        <v>42</v>
      </c>
      <c r="F100" s="3">
        <f t="shared" si="11"/>
        <v>6.3055609756097558E-2</v>
      </c>
      <c r="G100" s="3">
        <f t="shared" si="12"/>
        <v>0.10709853658536586</v>
      </c>
    </row>
    <row r="101" spans="1:7" x14ac:dyDescent="0.4">
      <c r="A101" s="25">
        <v>83</v>
      </c>
      <c r="B101">
        <f t="shared" si="8"/>
        <v>10</v>
      </c>
      <c r="C101">
        <f t="shared" si="9"/>
        <v>30</v>
      </c>
      <c r="D101">
        <f t="shared" si="10"/>
        <v>43</v>
      </c>
      <c r="F101" s="3">
        <f t="shared" si="11"/>
        <v>6.2966746987951794E-2</v>
      </c>
      <c r="G101" s="3">
        <f t="shared" si="12"/>
        <v>0.1070689156626506</v>
      </c>
    </row>
    <row r="102" spans="1:7" x14ac:dyDescent="0.4">
      <c r="A102" s="25">
        <v>84</v>
      </c>
      <c r="B102">
        <f t="shared" si="8"/>
        <v>10</v>
      </c>
      <c r="C102">
        <f t="shared" si="9"/>
        <v>30</v>
      </c>
      <c r="D102">
        <f t="shared" si="10"/>
        <v>44</v>
      </c>
      <c r="F102" s="3">
        <f t="shared" si="11"/>
        <v>6.2879999999999991E-2</v>
      </c>
      <c r="G102" s="3">
        <f t="shared" si="12"/>
        <v>0.10704</v>
      </c>
    </row>
    <row r="103" spans="1:7" x14ac:dyDescent="0.4">
      <c r="A103" s="25">
        <v>85</v>
      </c>
      <c r="B103">
        <f t="shared" si="8"/>
        <v>10</v>
      </c>
      <c r="C103">
        <f t="shared" si="9"/>
        <v>30</v>
      </c>
      <c r="D103">
        <f t="shared" si="10"/>
        <v>45</v>
      </c>
      <c r="F103" s="3">
        <f t="shared" si="11"/>
        <v>6.2795294117647046E-2</v>
      </c>
      <c r="G103" s="3">
        <f t="shared" si="12"/>
        <v>0.10701176470588235</v>
      </c>
    </row>
    <row r="104" spans="1:7" x14ac:dyDescent="0.4">
      <c r="A104" s="25">
        <v>86</v>
      </c>
      <c r="B104">
        <f t="shared" si="8"/>
        <v>10</v>
      </c>
      <c r="C104">
        <f t="shared" si="9"/>
        <v>30</v>
      </c>
      <c r="D104">
        <f t="shared" si="10"/>
        <v>46</v>
      </c>
      <c r="F104" s="3">
        <f t="shared" si="11"/>
        <v>6.2712558139534871E-2</v>
      </c>
      <c r="G104" s="3">
        <f t="shared" si="12"/>
        <v>0.10698418604651162</v>
      </c>
    </row>
    <row r="105" spans="1:7" x14ac:dyDescent="0.4">
      <c r="A105" s="25">
        <v>87</v>
      </c>
      <c r="B105">
        <f t="shared" si="8"/>
        <v>10</v>
      </c>
      <c r="C105">
        <f t="shared" si="9"/>
        <v>30</v>
      </c>
      <c r="D105">
        <f t="shared" si="10"/>
        <v>47</v>
      </c>
      <c r="F105" s="3">
        <f t="shared" si="11"/>
        <v>6.2631724137931027E-2</v>
      </c>
      <c r="G105" s="3">
        <f t="shared" si="12"/>
        <v>0.10695724137931034</v>
      </c>
    </row>
    <row r="106" spans="1:7" x14ac:dyDescent="0.4">
      <c r="A106" s="25">
        <v>88</v>
      </c>
      <c r="B106">
        <f t="shared" si="8"/>
        <v>10</v>
      </c>
      <c r="C106">
        <f t="shared" si="9"/>
        <v>30</v>
      </c>
      <c r="D106">
        <f t="shared" si="10"/>
        <v>48</v>
      </c>
      <c r="F106" s="3">
        <f t="shared" si="11"/>
        <v>6.255272727272726E-2</v>
      </c>
      <c r="G106" s="3">
        <f t="shared" si="12"/>
        <v>0.10693090909090909</v>
      </c>
    </row>
    <row r="107" spans="1:7" x14ac:dyDescent="0.4">
      <c r="A107" s="25">
        <v>89</v>
      </c>
      <c r="B107">
        <f t="shared" si="8"/>
        <v>10</v>
      </c>
      <c r="C107">
        <f t="shared" si="9"/>
        <v>30</v>
      </c>
      <c r="D107">
        <f t="shared" si="10"/>
        <v>49</v>
      </c>
      <c r="F107" s="3">
        <f t="shared" si="11"/>
        <v>6.2475505617977517E-2</v>
      </c>
      <c r="G107" s="3">
        <f t="shared" si="12"/>
        <v>0.10690516853932584</v>
      </c>
    </row>
    <row r="108" spans="1:7" x14ac:dyDescent="0.4">
      <c r="A108" s="25">
        <v>90</v>
      </c>
      <c r="B108">
        <f t="shared" si="8"/>
        <v>10</v>
      </c>
      <c r="C108">
        <f t="shared" si="9"/>
        <v>30</v>
      </c>
      <c r="D108">
        <f t="shared" si="10"/>
        <v>50</v>
      </c>
      <c r="F108" s="3">
        <f t="shared" si="11"/>
        <v>6.2399999999999997E-2</v>
      </c>
      <c r="G108" s="3">
        <f t="shared" si="12"/>
        <v>0.10687999999999999</v>
      </c>
    </row>
    <row r="109" spans="1:7" x14ac:dyDescent="0.4">
      <c r="A109" s="25">
        <v>91</v>
      </c>
      <c r="B109">
        <f t="shared" si="8"/>
        <v>10</v>
      </c>
      <c r="C109">
        <f t="shared" si="9"/>
        <v>30</v>
      </c>
      <c r="D109">
        <f t="shared" si="10"/>
        <v>51</v>
      </c>
      <c r="F109" s="3">
        <f t="shared" si="11"/>
        <v>6.2326153846153837E-2</v>
      </c>
      <c r="G109" s="3">
        <f t="shared" si="12"/>
        <v>0.1068553846153846</v>
      </c>
    </row>
    <row r="110" spans="1:7" x14ac:dyDescent="0.4">
      <c r="A110" s="25">
        <v>92</v>
      </c>
      <c r="B110">
        <f t="shared" si="8"/>
        <v>10</v>
      </c>
      <c r="C110">
        <f t="shared" si="9"/>
        <v>30</v>
      </c>
      <c r="D110">
        <f t="shared" si="10"/>
        <v>52</v>
      </c>
      <c r="F110" s="3">
        <f t="shared" si="11"/>
        <v>6.225391304347825E-2</v>
      </c>
      <c r="G110" s="3">
        <f t="shared" si="12"/>
        <v>0.10683130434782608</v>
      </c>
    </row>
    <row r="111" spans="1:7" x14ac:dyDescent="0.4">
      <c r="A111" s="25">
        <v>93</v>
      </c>
      <c r="B111">
        <f t="shared" si="8"/>
        <v>10</v>
      </c>
      <c r="C111">
        <f t="shared" si="9"/>
        <v>30</v>
      </c>
      <c r="D111">
        <f t="shared" si="10"/>
        <v>53</v>
      </c>
      <c r="F111" s="3">
        <f t="shared" si="11"/>
        <v>6.2183225806451609E-2</v>
      </c>
      <c r="G111" s="3">
        <f t="shared" si="12"/>
        <v>0.10680774193548385</v>
      </c>
    </row>
    <row r="112" spans="1:7" x14ac:dyDescent="0.4">
      <c r="A112" s="25">
        <v>94</v>
      </c>
      <c r="B112">
        <f t="shared" si="8"/>
        <v>10</v>
      </c>
      <c r="C112">
        <f t="shared" si="9"/>
        <v>30</v>
      </c>
      <c r="D112">
        <f t="shared" si="10"/>
        <v>54</v>
      </c>
      <c r="F112" s="3">
        <f t="shared" si="11"/>
        <v>6.2114042553191487E-2</v>
      </c>
      <c r="G112" s="3">
        <f t="shared" si="12"/>
        <v>0.10678468085106381</v>
      </c>
    </row>
    <row r="113" spans="1:7" x14ac:dyDescent="0.4">
      <c r="A113" s="25">
        <v>95</v>
      </c>
      <c r="B113">
        <f t="shared" si="8"/>
        <v>10</v>
      </c>
      <c r="C113">
        <f t="shared" si="9"/>
        <v>30</v>
      </c>
      <c r="D113">
        <f t="shared" si="10"/>
        <v>55</v>
      </c>
      <c r="F113" s="3">
        <f t="shared" si="11"/>
        <v>6.2046315789473679E-2</v>
      </c>
      <c r="G113" s="3">
        <f t="shared" si="12"/>
        <v>0.10676210526315788</v>
      </c>
    </row>
    <row r="114" spans="1:7" x14ac:dyDescent="0.4">
      <c r="A114" s="25">
        <v>96</v>
      </c>
      <c r="B114">
        <f t="shared" si="8"/>
        <v>10</v>
      </c>
      <c r="C114">
        <f t="shared" si="9"/>
        <v>30</v>
      </c>
      <c r="D114">
        <f t="shared" si="10"/>
        <v>56</v>
      </c>
      <c r="F114" s="3">
        <f t="shared" si="11"/>
        <v>6.198E-2</v>
      </c>
      <c r="G114" s="3">
        <f t="shared" si="12"/>
        <v>0.10674</v>
      </c>
    </row>
    <row r="115" spans="1:7" x14ac:dyDescent="0.4">
      <c r="A115" s="25">
        <v>97</v>
      </c>
      <c r="B115">
        <f t="shared" si="8"/>
        <v>10</v>
      </c>
      <c r="C115">
        <f t="shared" si="9"/>
        <v>30</v>
      </c>
      <c r="D115">
        <f t="shared" si="10"/>
        <v>57</v>
      </c>
      <c r="F115" s="3">
        <f t="shared" si="11"/>
        <v>6.191505154639175E-2</v>
      </c>
      <c r="G115" s="3">
        <f t="shared" si="12"/>
        <v>0.10671835051546391</v>
      </c>
    </row>
    <row r="116" spans="1:7" x14ac:dyDescent="0.4">
      <c r="A116" s="25">
        <v>98</v>
      </c>
      <c r="B116">
        <f t="shared" si="8"/>
        <v>10</v>
      </c>
      <c r="C116">
        <f t="shared" si="9"/>
        <v>30</v>
      </c>
      <c r="D116">
        <f t="shared" si="10"/>
        <v>58</v>
      </c>
      <c r="F116" s="3">
        <f t="shared" si="11"/>
        <v>6.1851428571428564E-2</v>
      </c>
      <c r="G116" s="3">
        <f t="shared" si="12"/>
        <v>0.10669714285714285</v>
      </c>
    </row>
    <row r="117" spans="1:7" x14ac:dyDescent="0.4">
      <c r="A117" s="25">
        <v>99</v>
      </c>
      <c r="B117">
        <f t="shared" si="8"/>
        <v>10</v>
      </c>
      <c r="C117">
        <f t="shared" si="9"/>
        <v>30</v>
      </c>
      <c r="D117">
        <f t="shared" si="10"/>
        <v>59</v>
      </c>
      <c r="F117" s="3">
        <f t="shared" si="11"/>
        <v>6.1789090909090905E-2</v>
      </c>
      <c r="G117" s="3">
        <f t="shared" si="12"/>
        <v>0.10667636363636364</v>
      </c>
    </row>
    <row r="118" spans="1:7" x14ac:dyDescent="0.4">
      <c r="A118" s="25">
        <v>100</v>
      </c>
      <c r="B118">
        <f t="shared" si="8"/>
        <v>10</v>
      </c>
      <c r="C118">
        <f t="shared" si="9"/>
        <v>30</v>
      </c>
      <c r="D118">
        <f t="shared" si="10"/>
        <v>60</v>
      </c>
      <c r="F118" s="3">
        <f t="shared" si="11"/>
        <v>6.1727999999999998E-2</v>
      </c>
      <c r="G118" s="3">
        <f t="shared" si="12"/>
        <v>0.106656</v>
      </c>
    </row>
    <row r="119" spans="1:7" x14ac:dyDescent="0.4">
      <c r="A119" s="25">
        <v>101</v>
      </c>
      <c r="F119" s="3" t="s">
        <v>35</v>
      </c>
      <c r="G119" s="3" t="s">
        <v>35</v>
      </c>
    </row>
  </sheetData>
  <hyperlinks>
    <hyperlink ref="G5" r:id="rId1" display="https://www.solarwirtschaft.de/datawall/uploads/2023/01/bsw_verguetungssaetze_aktuell.pdf" xr:uid="{FDF05803-4D2A-4CB2-8AFF-3A675B1C6F59}"/>
    <hyperlink ref="G6" r:id="rId2" display="https://www.solarwirtschaft.de/datawall/uploads/2023/01/bsw_verguetungssaetze_aktuell.pdf" xr:uid="{33E50394-E74C-4B84-AE94-ABBE8F34131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FC4D6-ECA5-47BD-A1EE-695EFC78DE1B}">
  <dimension ref="B2:B8"/>
  <sheetViews>
    <sheetView workbookViewId="0">
      <selection activeCell="B9" sqref="B9"/>
    </sheetView>
  </sheetViews>
  <sheetFormatPr defaultRowHeight="14.6" x14ac:dyDescent="0.4"/>
  <cols>
    <col min="2" max="2" width="11" customWidth="1"/>
  </cols>
  <sheetData>
    <row r="2" spans="2:2" x14ac:dyDescent="0.4">
      <c r="B2" t="s">
        <v>152</v>
      </c>
    </row>
    <row r="3" spans="2:2" x14ac:dyDescent="0.4">
      <c r="B3" t="s">
        <v>150</v>
      </c>
    </row>
    <row r="4" spans="2:2" x14ac:dyDescent="0.4">
      <c r="B4" t="s">
        <v>147</v>
      </c>
    </row>
    <row r="5" spans="2:2" x14ac:dyDescent="0.4">
      <c r="B5" t="s">
        <v>148</v>
      </c>
    </row>
    <row r="6" spans="2:2" x14ac:dyDescent="0.4">
      <c r="B6" t="s">
        <v>151</v>
      </c>
    </row>
    <row r="7" spans="2:2" x14ac:dyDescent="0.4">
      <c r="B7" t="s">
        <v>149</v>
      </c>
    </row>
    <row r="8" spans="2:2" x14ac:dyDescent="0.4">
      <c r="B8" t="s">
        <v>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Rendite Matrix</vt:lpstr>
      <vt:lpstr>Eingaben &amp; Berechnung</vt:lpstr>
      <vt:lpstr>Hinweise</vt:lpstr>
      <vt:lpstr>Direktverbrauchsquote</vt:lpstr>
      <vt:lpstr>Einspeisevergütung</vt:lpstr>
      <vt:lpstr>Betriebsmodelle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Jochen Rivoir</dc:creator>
  <cp:lastModifiedBy>Jochen Rivoir</cp:lastModifiedBy>
  <cp:lastPrinted>2025-07-09T10:46:21Z</cp:lastPrinted>
  <dcterms:created xsi:type="dcterms:W3CDTF">2015-06-05T18:17:20Z</dcterms:created>
  <dcterms:modified xsi:type="dcterms:W3CDTF">2025-12-16T10:38:01Z</dcterms:modified>
</cp:coreProperties>
</file>